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00 Causas Antropógenas\Por Gas\"/>
    </mc:Choice>
  </mc:AlternateContent>
  <xr:revisionPtr revIDLastSave="0" documentId="13_ncr:1_{358FAC81-8F71-45E8-A057-436538684BF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rk1" sheetId="1" r:id="rId1"/>
    <sheet name="Ark1 (2)" sheetId="2" r:id="rId2"/>
  </sheets>
  <calcPr calcId="181029"/>
</workbook>
</file>

<file path=xl/calcChain.xml><?xml version="1.0" encoding="utf-8"?>
<calcChain xmlns="http://schemas.openxmlformats.org/spreadsheetml/2006/main">
  <c r="AI3" i="2" l="1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G3" i="2"/>
  <c r="AH3" i="2" s="1"/>
  <c r="AG4" i="2"/>
  <c r="AH4" i="2" s="1"/>
  <c r="AG5" i="2"/>
  <c r="AH5" i="2" s="1"/>
  <c r="AG6" i="2"/>
  <c r="AH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3" i="2"/>
  <c r="AH13" i="2" s="1"/>
  <c r="AG14" i="2"/>
  <c r="AH14" i="2" s="1"/>
  <c r="AG15" i="2"/>
  <c r="AH15" i="2" s="1"/>
  <c r="AG16" i="2"/>
  <c r="AH16" i="2" s="1"/>
  <c r="AG17" i="2"/>
  <c r="AH17" i="2" s="1"/>
  <c r="AG18" i="2"/>
  <c r="AH18" i="2" s="1"/>
  <c r="AG19" i="2"/>
  <c r="AH19" i="2" s="1"/>
  <c r="AG20" i="2"/>
  <c r="AH20" i="2" s="1"/>
  <c r="AG21" i="2"/>
  <c r="AH21" i="2" s="1"/>
  <c r="AG22" i="2"/>
  <c r="AH22" i="2" s="1"/>
  <c r="AG23" i="2"/>
  <c r="AH23" i="2" s="1"/>
  <c r="AG24" i="2"/>
  <c r="AH24" i="2" s="1"/>
  <c r="AG25" i="2"/>
  <c r="AH25" i="2" s="1"/>
  <c r="AG26" i="2"/>
  <c r="AH26" i="2" s="1"/>
  <c r="AG27" i="2"/>
  <c r="AH27" i="2" s="1"/>
  <c r="AG28" i="2"/>
  <c r="AH28" i="2" s="1"/>
  <c r="AG29" i="2"/>
  <c r="AH29" i="2" s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" i="1"/>
  <c r="X4" i="2"/>
  <c r="Z4" i="2" s="1"/>
  <c r="X5" i="2"/>
  <c r="Z5" i="2" s="1"/>
  <c r="X6" i="2"/>
  <c r="Z6" i="2" s="1"/>
  <c r="X7" i="2"/>
  <c r="Z7" i="2" s="1"/>
  <c r="X8" i="2"/>
  <c r="Z8" i="2" s="1"/>
  <c r="X9" i="2"/>
  <c r="Z9" i="2" s="1"/>
  <c r="X10" i="2"/>
  <c r="Z10" i="2" s="1"/>
  <c r="X11" i="2"/>
  <c r="X12" i="2"/>
  <c r="Z12" i="2" s="1"/>
  <c r="X13" i="2"/>
  <c r="Z13" i="2" s="1"/>
  <c r="X14" i="2"/>
  <c r="Z14" i="2" s="1"/>
  <c r="X15" i="2"/>
  <c r="Z15" i="2" s="1"/>
  <c r="X16" i="2"/>
  <c r="Z16" i="2" s="1"/>
  <c r="X17" i="2"/>
  <c r="X18" i="2"/>
  <c r="Z18" i="2" s="1"/>
  <c r="X19" i="2"/>
  <c r="X20" i="2"/>
  <c r="Z20" i="2" s="1"/>
  <c r="X21" i="2"/>
  <c r="Z21" i="2" s="1"/>
  <c r="X22" i="2"/>
  <c r="X23" i="2"/>
  <c r="Z23" i="2" s="1"/>
  <c r="X24" i="2"/>
  <c r="Z24" i="2" s="1"/>
  <c r="X25" i="2"/>
  <c r="Z25" i="2" s="1"/>
  <c r="X26" i="2"/>
  <c r="Z26" i="2" s="1"/>
  <c r="X27" i="2"/>
  <c r="X28" i="2"/>
  <c r="Z28" i="2" s="1"/>
  <c r="X29" i="2"/>
  <c r="Z29" i="2" s="1"/>
  <c r="X3" i="2"/>
  <c r="Z3" i="2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" i="1"/>
  <c r="S4" i="2"/>
  <c r="S5" i="2"/>
  <c r="U5" i="2" s="1"/>
  <c r="S6" i="2"/>
  <c r="U6" i="2" s="1"/>
  <c r="S7" i="2"/>
  <c r="U7" i="2" s="1"/>
  <c r="S8" i="2"/>
  <c r="U8" i="2" s="1"/>
  <c r="S9" i="2"/>
  <c r="U9" i="2" s="1"/>
  <c r="S10" i="2"/>
  <c r="U10" i="2" s="1"/>
  <c r="S11" i="2"/>
  <c r="U11" i="2" s="1"/>
  <c r="S12" i="2"/>
  <c r="S13" i="2"/>
  <c r="U13" i="2" s="1"/>
  <c r="S14" i="2"/>
  <c r="U14" i="2" s="1"/>
  <c r="S15" i="2"/>
  <c r="U15" i="2" s="1"/>
  <c r="S16" i="2"/>
  <c r="S17" i="2"/>
  <c r="U17" i="2" s="1"/>
  <c r="S18" i="2"/>
  <c r="U18" i="2" s="1"/>
  <c r="S19" i="2"/>
  <c r="U19" i="2" s="1"/>
  <c r="S20" i="2"/>
  <c r="S21" i="2"/>
  <c r="U21" i="2" s="1"/>
  <c r="S22" i="2"/>
  <c r="U22" i="2" s="1"/>
  <c r="S23" i="2"/>
  <c r="U23" i="2" s="1"/>
  <c r="S24" i="2"/>
  <c r="U24" i="2" s="1"/>
  <c r="S25" i="2"/>
  <c r="U25" i="2" s="1"/>
  <c r="S26" i="2"/>
  <c r="U26" i="2" s="1"/>
  <c r="S27" i="2"/>
  <c r="U27" i="2" s="1"/>
  <c r="S28" i="2"/>
  <c r="S29" i="2"/>
  <c r="U29" i="2" s="1"/>
  <c r="S3" i="2"/>
  <c r="U3" i="2" s="1"/>
  <c r="L4" i="2"/>
  <c r="L5" i="2"/>
  <c r="L6" i="2"/>
  <c r="L7" i="2"/>
  <c r="L8" i="2"/>
  <c r="L9" i="2"/>
  <c r="L10" i="2"/>
  <c r="M10" i="2" s="1"/>
  <c r="P10" i="2" s="1"/>
  <c r="L11" i="2"/>
  <c r="M11" i="2" s="1"/>
  <c r="P11" i="2" s="1"/>
  <c r="L12" i="2"/>
  <c r="M12" i="2" s="1"/>
  <c r="P12" i="2" s="1"/>
  <c r="L13" i="2"/>
  <c r="L14" i="2"/>
  <c r="M14" i="2" s="1"/>
  <c r="P14" i="2" s="1"/>
  <c r="L15" i="2"/>
  <c r="L16" i="2"/>
  <c r="L17" i="2"/>
  <c r="L18" i="2"/>
  <c r="M18" i="2" s="1"/>
  <c r="P18" i="2" s="1"/>
  <c r="L19" i="2"/>
  <c r="L20" i="2"/>
  <c r="L21" i="2"/>
  <c r="L22" i="2"/>
  <c r="M22" i="2" s="1"/>
  <c r="P22" i="2" s="1"/>
  <c r="L23" i="2"/>
  <c r="L24" i="2"/>
  <c r="L25" i="2"/>
  <c r="L26" i="2"/>
  <c r="M26" i="2" s="1"/>
  <c r="P26" i="2" s="1"/>
  <c r="L27" i="2"/>
  <c r="M27" i="2" s="1"/>
  <c r="P27" i="2" s="1"/>
  <c r="L28" i="2"/>
  <c r="M28" i="2" s="1"/>
  <c r="P28" i="2" s="1"/>
  <c r="L29" i="2"/>
  <c r="L3" i="2"/>
  <c r="M3" i="2" s="1"/>
  <c r="P3" i="2" s="1"/>
  <c r="G4" i="2"/>
  <c r="H4" i="2" s="1"/>
  <c r="K4" i="2" s="1"/>
  <c r="G5" i="2"/>
  <c r="G6" i="2"/>
  <c r="G7" i="2"/>
  <c r="H7" i="2" s="1"/>
  <c r="K7" i="2" s="1"/>
  <c r="G8" i="2"/>
  <c r="G9" i="2"/>
  <c r="G10" i="2"/>
  <c r="G11" i="2"/>
  <c r="G12" i="2"/>
  <c r="I13" i="2" s="1"/>
  <c r="J13" i="2" s="1"/>
  <c r="G13" i="2"/>
  <c r="I14" i="2" s="1"/>
  <c r="J14" i="2" s="1"/>
  <c r="G14" i="2"/>
  <c r="H14" i="2" s="1"/>
  <c r="K14" i="2" s="1"/>
  <c r="G15" i="2"/>
  <c r="H15" i="2" s="1"/>
  <c r="K15" i="2" s="1"/>
  <c r="G16" i="2"/>
  <c r="I17" i="2" s="1"/>
  <c r="J17" i="2" s="1"/>
  <c r="G17" i="2"/>
  <c r="H17" i="2" s="1"/>
  <c r="K17" i="2" s="1"/>
  <c r="G18" i="2"/>
  <c r="G19" i="2"/>
  <c r="G20" i="2"/>
  <c r="I21" i="2" s="1"/>
  <c r="J21" i="2" s="1"/>
  <c r="G21" i="2"/>
  <c r="H21" i="2" s="1"/>
  <c r="K21" i="2" s="1"/>
  <c r="G22" i="2"/>
  <c r="G23" i="2"/>
  <c r="H23" i="2" s="1"/>
  <c r="K23" i="2" s="1"/>
  <c r="G24" i="2"/>
  <c r="G25" i="2"/>
  <c r="G26" i="2"/>
  <c r="H26" i="2" s="1"/>
  <c r="K26" i="2" s="1"/>
  <c r="G27" i="2"/>
  <c r="G28" i="2"/>
  <c r="G29" i="2"/>
  <c r="G3" i="2"/>
  <c r="H3" i="2" s="1"/>
  <c r="K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E17" i="2" s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B3" i="2"/>
  <c r="F3" i="2" s="1"/>
  <c r="B4" i="2"/>
  <c r="F4" i="2" s="1"/>
  <c r="B5" i="2"/>
  <c r="F5" i="2" s="1"/>
  <c r="B6" i="2"/>
  <c r="B7" i="2"/>
  <c r="B8" i="2"/>
  <c r="B9" i="2"/>
  <c r="D10" i="2" s="1"/>
  <c r="B10" i="2"/>
  <c r="B11" i="2"/>
  <c r="F11" i="2" s="1"/>
  <c r="B12" i="2"/>
  <c r="F12" i="2" s="1"/>
  <c r="B13" i="2"/>
  <c r="D14" i="2" s="1"/>
  <c r="B14" i="2"/>
  <c r="F14" i="2" s="1"/>
  <c r="B15" i="2"/>
  <c r="F15" i="2" s="1"/>
  <c r="B16" i="2"/>
  <c r="B17" i="2"/>
  <c r="B18" i="2"/>
  <c r="F18" i="2" s="1"/>
  <c r="B19" i="2"/>
  <c r="F19" i="2" s="1"/>
  <c r="B20" i="2"/>
  <c r="B21" i="2"/>
  <c r="F21" i="2" s="1"/>
  <c r="B22" i="2"/>
  <c r="F22" i="2" s="1"/>
  <c r="B23" i="2"/>
  <c r="B24" i="2"/>
  <c r="F24" i="2" s="1"/>
  <c r="B25" i="2"/>
  <c r="D26" i="2" s="1"/>
  <c r="B26" i="2"/>
  <c r="F26" i="2" s="1"/>
  <c r="B27" i="2"/>
  <c r="F27" i="2" s="1"/>
  <c r="B28" i="2"/>
  <c r="B29" i="2"/>
  <c r="F29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6" i="2"/>
  <c r="F10" i="2"/>
  <c r="H29" i="2"/>
  <c r="K29" i="2" s="1"/>
  <c r="H25" i="2"/>
  <c r="K25" i="2" s="1"/>
  <c r="M24" i="2"/>
  <c r="P24" i="2" s="1"/>
  <c r="M20" i="2"/>
  <c r="P20" i="2" s="1"/>
  <c r="Y17" i="2"/>
  <c r="M16" i="2"/>
  <c r="P16" i="2" s="1"/>
  <c r="Y13" i="2"/>
  <c r="H13" i="2"/>
  <c r="K13" i="2" s="1"/>
  <c r="M9" i="2"/>
  <c r="P9" i="2" s="1"/>
  <c r="H9" i="2"/>
  <c r="K9" i="2" s="1"/>
  <c r="M8" i="2"/>
  <c r="P8" i="2" s="1"/>
  <c r="Y6" i="2"/>
  <c r="H5" i="2"/>
  <c r="K5" i="2" s="1"/>
  <c r="M4" i="2"/>
  <c r="P4" i="2" s="1"/>
  <c r="T3" i="2"/>
  <c r="E3" i="2"/>
  <c r="V4" i="1"/>
  <c r="V4" i="2" s="1"/>
  <c r="V5" i="1"/>
  <c r="V5" i="2" s="1"/>
  <c r="V6" i="1"/>
  <c r="V6" i="2" s="1"/>
  <c r="V7" i="1"/>
  <c r="V8" i="1"/>
  <c r="V8" i="2" s="1"/>
  <c r="V9" i="1"/>
  <c r="V9" i="2" s="1"/>
  <c r="V10" i="1"/>
  <c r="V11" i="1"/>
  <c r="V12" i="1"/>
  <c r="V12" i="2" s="1"/>
  <c r="V13" i="1"/>
  <c r="V13" i="2" s="1"/>
  <c r="V14" i="1"/>
  <c r="V14" i="2" s="1"/>
  <c r="V15" i="1"/>
  <c r="V16" i="1"/>
  <c r="V16" i="2" s="1"/>
  <c r="V17" i="1"/>
  <c r="V17" i="2" s="1"/>
  <c r="V18" i="1"/>
  <c r="V18" i="2" s="1"/>
  <c r="V19" i="1"/>
  <c r="V20" i="1"/>
  <c r="V20" i="2" s="1"/>
  <c r="V21" i="1"/>
  <c r="V21" i="2" s="1"/>
  <c r="V22" i="1"/>
  <c r="V22" i="2" s="1"/>
  <c r="V23" i="1"/>
  <c r="V24" i="1"/>
  <c r="V24" i="2" s="1"/>
  <c r="V25" i="1"/>
  <c r="V25" i="2" s="1"/>
  <c r="V26" i="1"/>
  <c r="V27" i="1"/>
  <c r="V28" i="1"/>
  <c r="V28" i="2" s="1"/>
  <c r="V29" i="1"/>
  <c r="V29" i="2" s="1"/>
  <c r="V3" i="1"/>
  <c r="W3" i="1" s="1"/>
  <c r="Q4" i="1"/>
  <c r="Q4" i="2" s="1"/>
  <c r="Q5" i="1"/>
  <c r="Q5" i="2" s="1"/>
  <c r="Q6" i="1"/>
  <c r="Q6" i="2" s="1"/>
  <c r="R6" i="2" s="1"/>
  <c r="Q7" i="1"/>
  <c r="Q7" i="2" s="1"/>
  <c r="Q8" i="1"/>
  <c r="Q8" i="2" s="1"/>
  <c r="Q9" i="1"/>
  <c r="Q9" i="2" s="1"/>
  <c r="Q10" i="1"/>
  <c r="Q10" i="2" s="1"/>
  <c r="Q11" i="1"/>
  <c r="Q11" i="2" s="1"/>
  <c r="Q12" i="1"/>
  <c r="Q12" i="2" s="1"/>
  <c r="Q13" i="1"/>
  <c r="Q13" i="2" s="1"/>
  <c r="Q14" i="1"/>
  <c r="Q14" i="2" s="1"/>
  <c r="R14" i="2" s="1"/>
  <c r="Q15" i="1"/>
  <c r="Q15" i="2" s="1"/>
  <c r="Q16" i="1"/>
  <c r="Q16" i="2" s="1"/>
  <c r="Q17" i="1"/>
  <c r="Q17" i="2" s="1"/>
  <c r="Q18" i="1"/>
  <c r="Q18" i="2" s="1"/>
  <c r="Q19" i="1"/>
  <c r="Q19" i="2" s="1"/>
  <c r="Q20" i="1"/>
  <c r="Q20" i="2" s="1"/>
  <c r="Q21" i="1"/>
  <c r="Q21" i="2" s="1"/>
  <c r="Q22" i="1"/>
  <c r="Q22" i="2" s="1"/>
  <c r="Q23" i="1"/>
  <c r="Q23" i="2" s="1"/>
  <c r="Q24" i="1"/>
  <c r="Q24" i="2" s="1"/>
  <c r="Q25" i="1"/>
  <c r="Q25" i="2" s="1"/>
  <c r="Q26" i="1"/>
  <c r="Q26" i="2" s="1"/>
  <c r="Q27" i="1"/>
  <c r="Q27" i="2" s="1"/>
  <c r="Q28" i="1"/>
  <c r="Q28" i="2" s="1"/>
  <c r="Q29" i="1"/>
  <c r="Q29" i="2" s="1"/>
  <c r="Q3" i="1"/>
  <c r="Q3" i="2" s="1"/>
  <c r="W4" i="1"/>
  <c r="W6" i="1"/>
  <c r="T3" i="1"/>
  <c r="T5" i="1"/>
  <c r="T7" i="1"/>
  <c r="T9" i="1"/>
  <c r="T11" i="1"/>
  <c r="T12" i="1"/>
  <c r="T15" i="1"/>
  <c r="T16" i="1"/>
  <c r="T19" i="1"/>
  <c r="T20" i="1"/>
  <c r="T23" i="1"/>
  <c r="T25" i="1"/>
  <c r="T27" i="1"/>
  <c r="T29" i="1"/>
  <c r="Y3" i="1"/>
  <c r="Y4" i="1"/>
  <c r="Y5" i="1"/>
  <c r="Y7" i="1"/>
  <c r="Y8" i="1"/>
  <c r="Y9" i="1"/>
  <c r="Y11" i="1"/>
  <c r="Y12" i="1"/>
  <c r="Y13" i="1"/>
  <c r="Y15" i="1"/>
  <c r="Y16" i="1"/>
  <c r="Y17" i="1"/>
  <c r="Y19" i="1"/>
  <c r="Y20" i="1"/>
  <c r="Y21" i="1"/>
  <c r="Y23" i="1"/>
  <c r="Y24" i="1"/>
  <c r="Y25" i="1"/>
  <c r="Y27" i="1"/>
  <c r="Y28" i="1"/>
  <c r="Y29" i="1"/>
  <c r="Y6" i="1"/>
  <c r="Y10" i="1"/>
  <c r="Y14" i="1"/>
  <c r="Y26" i="1"/>
  <c r="T6" i="1"/>
  <c r="T10" i="1"/>
  <c r="T14" i="1"/>
  <c r="T18" i="1"/>
  <c r="T22" i="1"/>
  <c r="T26" i="1"/>
  <c r="Y12" i="2" l="1"/>
  <c r="W19" i="1"/>
  <c r="H12" i="2"/>
  <c r="K12" i="2" s="1"/>
  <c r="E22" i="2"/>
  <c r="E6" i="2"/>
  <c r="N5" i="2"/>
  <c r="O5" i="2" s="1"/>
  <c r="T16" i="2"/>
  <c r="Y22" i="2"/>
  <c r="N3" i="2"/>
  <c r="O3" i="2" s="1"/>
  <c r="Y24" i="2"/>
  <c r="D17" i="2"/>
  <c r="E28" i="2"/>
  <c r="E24" i="2"/>
  <c r="E20" i="2"/>
  <c r="E12" i="2"/>
  <c r="E8" i="2"/>
  <c r="E4" i="2"/>
  <c r="I24" i="2"/>
  <c r="J24" i="2" s="1"/>
  <c r="E15" i="2"/>
  <c r="T10" i="2"/>
  <c r="I8" i="2"/>
  <c r="J8" i="2" s="1"/>
  <c r="R21" i="2"/>
  <c r="D5" i="2"/>
  <c r="R27" i="2"/>
  <c r="R19" i="2"/>
  <c r="Z22" i="2"/>
  <c r="I5" i="2"/>
  <c r="J5" i="2" s="1"/>
  <c r="Y14" i="2"/>
  <c r="Y21" i="2"/>
  <c r="T6" i="2"/>
  <c r="T8" i="2"/>
  <c r="Y15" i="2"/>
  <c r="U16" i="2"/>
  <c r="M5" i="2"/>
  <c r="P5" i="2" s="1"/>
  <c r="Y8" i="2"/>
  <c r="Y16" i="2"/>
  <c r="E14" i="2"/>
  <c r="Y23" i="2"/>
  <c r="N9" i="2"/>
  <c r="O9" i="2" s="1"/>
  <c r="I28" i="2"/>
  <c r="J28" i="2" s="1"/>
  <c r="Y7" i="2"/>
  <c r="T24" i="2"/>
  <c r="N6" i="2"/>
  <c r="O6" i="2" s="1"/>
  <c r="Y5" i="2"/>
  <c r="D22" i="2"/>
  <c r="Y29" i="2"/>
  <c r="N29" i="2"/>
  <c r="O29" i="2" s="1"/>
  <c r="N14" i="2"/>
  <c r="O14" i="2" s="1"/>
  <c r="Y18" i="2"/>
  <c r="M6" i="2"/>
  <c r="P6" i="2" s="1"/>
  <c r="T17" i="2"/>
  <c r="T25" i="2"/>
  <c r="E16" i="2"/>
  <c r="W22" i="2"/>
  <c r="W14" i="2"/>
  <c r="W6" i="2"/>
  <c r="N4" i="2"/>
  <c r="O4" i="2" s="1"/>
  <c r="T26" i="2"/>
  <c r="W22" i="1"/>
  <c r="T18" i="2"/>
  <c r="N27" i="2"/>
  <c r="O27" i="2" s="1"/>
  <c r="F25" i="2"/>
  <c r="N25" i="2"/>
  <c r="O25" i="2" s="1"/>
  <c r="T29" i="2"/>
  <c r="T21" i="2"/>
  <c r="T13" i="2"/>
  <c r="T5" i="2"/>
  <c r="T9" i="2"/>
  <c r="Y28" i="2"/>
  <c r="N24" i="2"/>
  <c r="O24" i="2" s="1"/>
  <c r="N15" i="2"/>
  <c r="O15" i="2" s="1"/>
  <c r="N7" i="2"/>
  <c r="O7" i="2" s="1"/>
  <c r="Y27" i="2"/>
  <c r="Y19" i="2"/>
  <c r="Y11" i="2"/>
  <c r="W23" i="1"/>
  <c r="W15" i="1"/>
  <c r="W7" i="1"/>
  <c r="Y3" i="2"/>
  <c r="H20" i="2"/>
  <c r="K20" i="2" s="1"/>
  <c r="T22" i="2"/>
  <c r="AA5" i="2"/>
  <c r="AD5" i="2" s="1"/>
  <c r="V23" i="2"/>
  <c r="W24" i="2" s="1"/>
  <c r="E7" i="2"/>
  <c r="V15" i="2"/>
  <c r="W15" i="2" s="1"/>
  <c r="T14" i="2"/>
  <c r="E23" i="2"/>
  <c r="V7" i="2"/>
  <c r="W7" i="2" s="1"/>
  <c r="W14" i="1"/>
  <c r="R25" i="2"/>
  <c r="R17" i="2"/>
  <c r="R9" i="2"/>
  <c r="T7" i="2"/>
  <c r="D25" i="2"/>
  <c r="D8" i="2"/>
  <c r="AA26" i="2"/>
  <c r="AD26" i="2" s="1"/>
  <c r="N20" i="2"/>
  <c r="O20" i="2" s="1"/>
  <c r="R24" i="2"/>
  <c r="Y4" i="2"/>
  <c r="M13" i="2"/>
  <c r="P13" i="2" s="1"/>
  <c r="T23" i="2"/>
  <c r="D21" i="2"/>
  <c r="AA9" i="2"/>
  <c r="AD9" i="2" s="1"/>
  <c r="N10" i="2"/>
  <c r="O10" i="2" s="1"/>
  <c r="R22" i="2"/>
  <c r="T15" i="2"/>
  <c r="V3" i="2"/>
  <c r="W4" i="2" s="1"/>
  <c r="W29" i="2"/>
  <c r="W21" i="2"/>
  <c r="W13" i="2"/>
  <c r="W5" i="2"/>
  <c r="AA14" i="2"/>
  <c r="V26" i="2"/>
  <c r="W26" i="2" s="1"/>
  <c r="W27" i="1"/>
  <c r="W18" i="2"/>
  <c r="V10" i="2"/>
  <c r="W10" i="2" s="1"/>
  <c r="W11" i="1"/>
  <c r="R29" i="2"/>
  <c r="R13" i="2"/>
  <c r="R5" i="2"/>
  <c r="D15" i="2"/>
  <c r="AA3" i="2"/>
  <c r="R28" i="2"/>
  <c r="D23" i="2"/>
  <c r="F23" i="2"/>
  <c r="F7" i="2"/>
  <c r="D7" i="2"/>
  <c r="E10" i="2"/>
  <c r="I4" i="2"/>
  <c r="J4" i="2" s="1"/>
  <c r="I3" i="2"/>
  <c r="J3" i="2" s="1"/>
  <c r="I23" i="2"/>
  <c r="J23" i="2" s="1"/>
  <c r="I22" i="2"/>
  <c r="J22" i="2" s="1"/>
  <c r="H22" i="2"/>
  <c r="K22" i="2" s="1"/>
  <c r="I7" i="2"/>
  <c r="J7" i="2" s="1"/>
  <c r="I6" i="2"/>
  <c r="J6" i="2" s="1"/>
  <c r="H6" i="2"/>
  <c r="K6" i="2" s="1"/>
  <c r="M23" i="2"/>
  <c r="P23" i="2" s="1"/>
  <c r="U28" i="2"/>
  <c r="U20" i="2"/>
  <c r="U12" i="2"/>
  <c r="U4" i="2"/>
  <c r="AA4" i="2"/>
  <c r="W21" i="1"/>
  <c r="W5" i="1"/>
  <c r="W28" i="1"/>
  <c r="W20" i="1"/>
  <c r="W12" i="1"/>
  <c r="T4" i="2"/>
  <c r="Y10" i="2"/>
  <c r="N23" i="2"/>
  <c r="O23" i="2" s="1"/>
  <c r="E29" i="2"/>
  <c r="F13" i="2"/>
  <c r="D16" i="2"/>
  <c r="D9" i="2"/>
  <c r="E19" i="2"/>
  <c r="I15" i="2"/>
  <c r="J15" i="2" s="1"/>
  <c r="W25" i="1"/>
  <c r="W18" i="1"/>
  <c r="W10" i="1"/>
  <c r="N16" i="2"/>
  <c r="O16" i="2" s="1"/>
  <c r="M25" i="2"/>
  <c r="P25" i="2" s="1"/>
  <c r="Y26" i="2"/>
  <c r="I29" i="2"/>
  <c r="J29" i="2" s="1"/>
  <c r="E9" i="2"/>
  <c r="E25" i="2"/>
  <c r="T28" i="2"/>
  <c r="T20" i="2"/>
  <c r="T11" i="2"/>
  <c r="Z27" i="2"/>
  <c r="Z19" i="2"/>
  <c r="Z11" i="2"/>
  <c r="W24" i="1"/>
  <c r="W16" i="1"/>
  <c r="W8" i="1"/>
  <c r="N8" i="2"/>
  <c r="O8" i="2" s="1"/>
  <c r="Y9" i="2"/>
  <c r="F9" i="2"/>
  <c r="W29" i="1"/>
  <c r="W13" i="1"/>
  <c r="E5" i="2"/>
  <c r="M7" i="2"/>
  <c r="P7" i="2" s="1"/>
  <c r="M15" i="2"/>
  <c r="P15" i="2" s="1"/>
  <c r="Y25" i="2"/>
  <c r="D18" i="2"/>
  <c r="D29" i="2"/>
  <c r="D20" i="2"/>
  <c r="I27" i="2"/>
  <c r="J27" i="2" s="1"/>
  <c r="I19" i="2"/>
  <c r="J19" i="2" s="1"/>
  <c r="N28" i="2"/>
  <c r="O28" i="2" s="1"/>
  <c r="Z17" i="2"/>
  <c r="H28" i="2"/>
  <c r="K28" i="2" s="1"/>
  <c r="D13" i="2"/>
  <c r="F17" i="2"/>
  <c r="V27" i="2"/>
  <c r="W28" i="2" s="1"/>
  <c r="V19" i="2"/>
  <c r="W20" i="2" s="1"/>
  <c r="V11" i="2"/>
  <c r="W12" i="2" s="1"/>
  <c r="D6" i="2"/>
  <c r="E21" i="2"/>
  <c r="E13" i="2"/>
  <c r="Y20" i="2"/>
  <c r="W9" i="2"/>
  <c r="W25" i="2"/>
  <c r="W17" i="2"/>
  <c r="T19" i="2"/>
  <c r="T27" i="2"/>
  <c r="T12" i="2"/>
  <c r="R10" i="2"/>
  <c r="R26" i="2"/>
  <c r="R11" i="2"/>
  <c r="R18" i="2"/>
  <c r="N11" i="2"/>
  <c r="O11" i="2" s="1"/>
  <c r="N13" i="2"/>
  <c r="O13" i="2" s="1"/>
  <c r="N18" i="2"/>
  <c r="O18" i="2" s="1"/>
  <c r="M29" i="2"/>
  <c r="P29" i="2" s="1"/>
  <c r="M19" i="2"/>
  <c r="P19" i="2" s="1"/>
  <c r="M21" i="2"/>
  <c r="P21" i="2" s="1"/>
  <c r="N22" i="2"/>
  <c r="O22" i="2" s="1"/>
  <c r="N12" i="2"/>
  <c r="O12" i="2" s="1"/>
  <c r="M17" i="2"/>
  <c r="P17" i="2" s="1"/>
  <c r="N19" i="2"/>
  <c r="O19" i="2" s="1"/>
  <c r="N21" i="2"/>
  <c r="O21" i="2" s="1"/>
  <c r="N17" i="2"/>
  <c r="O17" i="2" s="1"/>
  <c r="N26" i="2"/>
  <c r="O26" i="2" s="1"/>
  <c r="I20" i="2"/>
  <c r="J20" i="2" s="1"/>
  <c r="I12" i="2"/>
  <c r="J12" i="2" s="1"/>
  <c r="H27" i="2"/>
  <c r="K27" i="2" s="1"/>
  <c r="H11" i="2"/>
  <c r="K11" i="2" s="1"/>
  <c r="H10" i="2"/>
  <c r="K10" i="2" s="1"/>
  <c r="I11" i="2"/>
  <c r="J11" i="2" s="1"/>
  <c r="H18" i="2"/>
  <c r="K18" i="2" s="1"/>
  <c r="H24" i="2"/>
  <c r="K24" i="2" s="1"/>
  <c r="I25" i="2"/>
  <c r="J25" i="2" s="1"/>
  <c r="I26" i="2"/>
  <c r="J26" i="2" s="1"/>
  <c r="H19" i="2"/>
  <c r="K19" i="2" s="1"/>
  <c r="H8" i="2"/>
  <c r="K8" i="2" s="1"/>
  <c r="I9" i="2"/>
  <c r="J9" i="2" s="1"/>
  <c r="I10" i="2"/>
  <c r="J10" i="2" s="1"/>
  <c r="H16" i="2"/>
  <c r="K16" i="2" s="1"/>
  <c r="I18" i="2"/>
  <c r="J18" i="2" s="1"/>
  <c r="I16" i="2"/>
  <c r="J16" i="2" s="1"/>
  <c r="F28" i="2"/>
  <c r="F20" i="2"/>
  <c r="F16" i="2"/>
  <c r="F8" i="2"/>
  <c r="E26" i="2"/>
  <c r="E18" i="2"/>
  <c r="D24" i="2"/>
  <c r="E27" i="2"/>
  <c r="E11" i="2"/>
  <c r="D27" i="2"/>
  <c r="D28" i="2"/>
  <c r="D11" i="2"/>
  <c r="D12" i="2"/>
  <c r="D19" i="2"/>
  <c r="D4" i="2"/>
  <c r="D3" i="2"/>
  <c r="R7" i="2"/>
  <c r="R15" i="2"/>
  <c r="R23" i="2"/>
  <c r="R4" i="2"/>
  <c r="R12" i="2"/>
  <c r="R20" i="2"/>
  <c r="R3" i="2"/>
  <c r="R8" i="2"/>
  <c r="R16" i="2"/>
  <c r="W26" i="1"/>
  <c r="W17" i="1"/>
  <c r="W9" i="1"/>
  <c r="T17" i="1"/>
  <c r="T24" i="1"/>
  <c r="T8" i="1"/>
  <c r="T13" i="1"/>
  <c r="T21" i="1"/>
  <c r="T28" i="1"/>
  <c r="T4" i="1"/>
  <c r="Y18" i="1"/>
  <c r="Y2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AA12" i="2" l="1"/>
  <c r="AD12" i="2" s="1"/>
  <c r="W8" i="2"/>
  <c r="AB5" i="2"/>
  <c r="AC5" i="2" s="1"/>
  <c r="W11" i="2"/>
  <c r="AA13" i="2"/>
  <c r="AD13" i="2" s="1"/>
  <c r="W16" i="2"/>
  <c r="AA20" i="2"/>
  <c r="AD20" i="2" s="1"/>
  <c r="W3" i="2"/>
  <c r="AA29" i="2"/>
  <c r="AD29" i="2" s="1"/>
  <c r="W27" i="2"/>
  <c r="AA11" i="2"/>
  <c r="AD11" i="2" s="1"/>
  <c r="AA10" i="2"/>
  <c r="AB10" i="2" s="1"/>
  <c r="AC10" i="2" s="1"/>
  <c r="W23" i="2"/>
  <c r="AA24" i="2"/>
  <c r="AD24" i="2" s="1"/>
  <c r="AA21" i="2"/>
  <c r="AB21" i="2" s="1"/>
  <c r="AC21" i="2" s="1"/>
  <c r="AA6" i="2"/>
  <c r="AB6" i="2" s="1"/>
  <c r="AC6" i="2" s="1"/>
  <c r="AA23" i="2"/>
  <c r="AA16" i="2"/>
  <c r="AA25" i="2"/>
  <c r="AA19" i="2"/>
  <c r="AD3" i="2"/>
  <c r="AB3" i="2"/>
  <c r="AC3" i="2" s="1"/>
  <c r="AA28" i="2"/>
  <c r="AD28" i="2" s="1"/>
  <c r="AA18" i="2"/>
  <c r="AA27" i="2"/>
  <c r="AD14" i="2"/>
  <c r="AA22" i="2"/>
  <c r="AA8" i="2"/>
  <c r="W19" i="2"/>
  <c r="AA7" i="2"/>
  <c r="AA15" i="2"/>
  <c r="AB4" i="2"/>
  <c r="AC4" i="2" s="1"/>
  <c r="AD4" i="2"/>
  <c r="AA17" i="2"/>
  <c r="M3" i="1"/>
  <c r="P3" i="1" s="1"/>
  <c r="M4" i="1"/>
  <c r="P4" i="1" s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AB13" i="2" l="1"/>
  <c r="AC13" i="2" s="1"/>
  <c r="AB14" i="2"/>
  <c r="AC14" i="2" s="1"/>
  <c r="AD21" i="2"/>
  <c r="AB12" i="2"/>
  <c r="AC12" i="2" s="1"/>
  <c r="AD6" i="2"/>
  <c r="AB24" i="2"/>
  <c r="AC24" i="2" s="1"/>
  <c r="AD10" i="2"/>
  <c r="AB11" i="2"/>
  <c r="AC11" i="2" s="1"/>
  <c r="AA29" i="1"/>
  <c r="AC29" i="1" s="1"/>
  <c r="K29" i="1"/>
  <c r="AA21" i="1"/>
  <c r="AC21" i="1" s="1"/>
  <c r="K21" i="1"/>
  <c r="AA13" i="1"/>
  <c r="AC13" i="1" s="1"/>
  <c r="K13" i="1"/>
  <c r="AA5" i="1"/>
  <c r="AC5" i="1" s="1"/>
  <c r="K5" i="1"/>
  <c r="AB29" i="2"/>
  <c r="AC29" i="2" s="1"/>
  <c r="AA28" i="1"/>
  <c r="AC28" i="1" s="1"/>
  <c r="K28" i="1"/>
  <c r="AA20" i="1"/>
  <c r="AC20" i="1" s="1"/>
  <c r="K20" i="1"/>
  <c r="AA12" i="1"/>
  <c r="AC12" i="1" s="1"/>
  <c r="K12" i="1"/>
  <c r="AA4" i="1"/>
  <c r="AC4" i="1" s="1"/>
  <c r="K4" i="1"/>
  <c r="AB20" i="2"/>
  <c r="AC20" i="2" s="1"/>
  <c r="AB19" i="2"/>
  <c r="AC19" i="2" s="1"/>
  <c r="AD19" i="2"/>
  <c r="AA22" i="1"/>
  <c r="AC22" i="1" s="1"/>
  <c r="K22" i="1"/>
  <c r="AA6" i="1"/>
  <c r="AC6" i="1" s="1"/>
  <c r="K6" i="1"/>
  <c r="K11" i="1"/>
  <c r="AA11" i="1"/>
  <c r="AC11" i="1" s="1"/>
  <c r="K3" i="1"/>
  <c r="AA3" i="1"/>
  <c r="AC3" i="1" s="1"/>
  <c r="AB25" i="2"/>
  <c r="AC25" i="2" s="1"/>
  <c r="AD25" i="2"/>
  <c r="AB26" i="2"/>
  <c r="AC26" i="2" s="1"/>
  <c r="AB22" i="2"/>
  <c r="AC22" i="2" s="1"/>
  <c r="AD22" i="2"/>
  <c r="AA26" i="1"/>
  <c r="AC26" i="1" s="1"/>
  <c r="K26" i="1"/>
  <c r="AD15" i="2"/>
  <c r="AB15" i="2"/>
  <c r="AC15" i="2" s="1"/>
  <c r="AD16" i="2"/>
  <c r="AB16" i="2"/>
  <c r="AC16" i="2" s="1"/>
  <c r="K19" i="1"/>
  <c r="AA19" i="1"/>
  <c r="AC19" i="1" s="1"/>
  <c r="AA18" i="1"/>
  <c r="AC18" i="1" s="1"/>
  <c r="K18" i="1"/>
  <c r="AA17" i="1"/>
  <c r="AC17" i="1" s="1"/>
  <c r="K17" i="1"/>
  <c r="AA9" i="1"/>
  <c r="AC9" i="1" s="1"/>
  <c r="K9" i="1"/>
  <c r="AB28" i="2"/>
  <c r="AC28" i="2" s="1"/>
  <c r="AB27" i="2"/>
  <c r="AC27" i="2" s="1"/>
  <c r="AD27" i="2"/>
  <c r="AA14" i="1"/>
  <c r="AC14" i="1" s="1"/>
  <c r="K14" i="1"/>
  <c r="K27" i="1"/>
  <c r="AA27" i="1"/>
  <c r="AC27" i="1" s="1"/>
  <c r="AA10" i="1"/>
  <c r="AC10" i="1" s="1"/>
  <c r="K10" i="1"/>
  <c r="AA25" i="1"/>
  <c r="AC25" i="1" s="1"/>
  <c r="K25" i="1"/>
  <c r="AA24" i="1"/>
  <c r="AC24" i="1" s="1"/>
  <c r="K24" i="1"/>
  <c r="AA16" i="1"/>
  <c r="AC16" i="1" s="1"/>
  <c r="K16" i="1"/>
  <c r="AA8" i="1"/>
  <c r="AC8" i="1" s="1"/>
  <c r="K8" i="1"/>
  <c r="AD18" i="2"/>
  <c r="AB18" i="2"/>
  <c r="AC18" i="2" s="1"/>
  <c r="AA23" i="1"/>
  <c r="AC23" i="1" s="1"/>
  <c r="K23" i="1"/>
  <c r="AA15" i="1"/>
  <c r="AC15" i="1" s="1"/>
  <c r="K15" i="1"/>
  <c r="AA7" i="1"/>
  <c r="AC7" i="1" s="1"/>
  <c r="K7" i="1"/>
  <c r="AD17" i="2"/>
  <c r="AB17" i="2"/>
  <c r="AC17" i="2" s="1"/>
  <c r="AD7" i="2"/>
  <c r="AB7" i="2"/>
  <c r="AC7" i="2" s="1"/>
  <c r="AB8" i="2"/>
  <c r="AC8" i="2" s="1"/>
  <c r="AD8" i="2"/>
  <c r="AB9" i="2"/>
  <c r="AC9" i="2" s="1"/>
  <c r="AD23" i="2"/>
  <c r="AB23" i="2"/>
  <c r="AC23" i="2" s="1"/>
  <c r="AB11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AB8" i="1" l="1"/>
  <c r="AB6" i="1"/>
  <c r="AB24" i="1"/>
  <c r="AB3" i="1"/>
  <c r="AB21" i="1"/>
  <c r="AB19" i="1"/>
  <c r="AB9" i="1"/>
  <c r="AB18" i="1"/>
  <c r="AB7" i="1"/>
  <c r="AB17" i="1"/>
  <c r="AB27" i="1"/>
  <c r="AB14" i="1"/>
  <c r="AB28" i="1"/>
  <c r="AB26" i="1"/>
  <c r="AB12" i="1"/>
  <c r="AB22" i="1"/>
  <c r="AB10" i="1"/>
  <c r="AB25" i="1"/>
  <c r="AB16" i="1"/>
  <c r="AB23" i="1"/>
  <c r="AB15" i="1"/>
  <c r="AB29" i="1"/>
  <c r="AB13" i="1"/>
  <c r="AB5" i="1"/>
  <c r="AB20" i="1"/>
  <c r="AB4" i="1"/>
</calcChain>
</file>

<file path=xl/sharedStrings.xml><?xml version="1.0" encoding="utf-8"?>
<sst xmlns="http://schemas.openxmlformats.org/spreadsheetml/2006/main" count="87" uniqueCount="46">
  <si>
    <t>CO2</t>
  </si>
  <si>
    <t>CH4</t>
  </si>
  <si>
    <t>N2O</t>
  </si>
  <si>
    <t>CO2eq</t>
  </si>
  <si>
    <t>Año</t>
  </si>
  <si>
    <t>Variación Anual CO2</t>
  </si>
  <si>
    <t>Variación CH4</t>
  </si>
  <si>
    <t>Variación N2O</t>
  </si>
  <si>
    <t>Variación CO2eq</t>
  </si>
  <si>
    <t>Población</t>
  </si>
  <si>
    <t>CO2 per cápita</t>
  </si>
  <si>
    <t>CH4 per cápita</t>
  </si>
  <si>
    <t>N2O per cápita</t>
  </si>
  <si>
    <t>HFC per cápita</t>
  </si>
  <si>
    <t>SF6 per cápita</t>
  </si>
  <si>
    <t>CO2eq per cápita</t>
  </si>
  <si>
    <t>CO2 (CO2eq)</t>
  </si>
  <si>
    <t>Variación Anual CO2 (CO2eq)</t>
  </si>
  <si>
    <t>CH4 (CO2eq)</t>
  </si>
  <si>
    <t>Variación CH4 (CO2eq)</t>
  </si>
  <si>
    <t>N2O (CO2eq)</t>
  </si>
  <si>
    <t>Variación N2O (CO2eq)</t>
  </si>
  <si>
    <t>HFC (CO2eq)</t>
  </si>
  <si>
    <t>Variación HFC (CO2eq)</t>
  </si>
  <si>
    <t>SF6 (CO2eq)</t>
  </si>
  <si>
    <t>Variación SF6 (CO2eq)</t>
  </si>
  <si>
    <t>Emisiones por Gas (kilotoneladas=1.000.000 kilos) Per cápita es kg/hab PCG HFC promedio 7400</t>
  </si>
  <si>
    <t>HFC</t>
  </si>
  <si>
    <t>Variación HFC</t>
  </si>
  <si>
    <t>SF6</t>
  </si>
  <si>
    <t>Variación SF6</t>
  </si>
  <si>
    <t>ton CO2e</t>
  </si>
  <si>
    <t>ton CH4</t>
  </si>
  <si>
    <t>ton N2O</t>
  </si>
  <si>
    <t>ton HFC</t>
  </si>
  <si>
    <t>ton SF6</t>
  </si>
  <si>
    <t>Neto</t>
  </si>
  <si>
    <t>CO2e Total</t>
  </si>
  <si>
    <t>Variación CO2eq total</t>
  </si>
  <si>
    <t>CO2eq total per cápita</t>
  </si>
  <si>
    <t>ton CO2eq total per cápita</t>
  </si>
  <si>
    <t>ton CO2eq netas per cápita</t>
  </si>
  <si>
    <t>Variación ton CO2eq</t>
  </si>
  <si>
    <t>ton netas CO2eq</t>
  </si>
  <si>
    <t>Variacion % Emisiones Netas Anuales</t>
  </si>
  <si>
    <t>Variacion % Emisiones Totales 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</si>
</sst>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_ * #,##0.0_ ;_ * \-#,##0.0_ ;_ * &quot;-&quot;_ ;_ @_ "/>
    <numFmt numFmtId="165" formatCode="_ * #,##0.00_ ;_ * \-#,##0.00_ ;_ * &quot;-&quot;_ ;_ @_ "/>
    <numFmt numFmtId="166" formatCode="_ * #,##0.000_ ;_ * \-#,##0.000_ ;_ * &quot;-&quot;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2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0" fontId="0" fillId="0" borderId="0" xfId="0"/>
    <xf numFmtId="0" fontId="0" fillId="0" borderId="0" xfId="0"/>
    <xf numFmtId="49" fontId="18" fillId="0" borderId="0" xfId="0" applyNumberFormat="1" applyFont="1" applyAlignment="1">
      <alignment horizontal="center" wrapText="1"/>
    </xf>
    <xf numFmtId="0" fontId="0" fillId="0" borderId="0" xfId="0"/>
    <xf numFmtId="0" fontId="0" fillId="0" borderId="0" xfId="0"/>
    <xf numFmtId="49" fontId="19" fillId="33" borderId="0" xfId="0" applyNumberFormat="1" applyFont="1" applyFill="1" applyAlignment="1">
      <alignment horizontal="center" vertical="center" wrapText="1"/>
    </xf>
    <xf numFmtId="49" fontId="19" fillId="34" borderId="0" xfId="0" applyNumberFormat="1" applyFont="1" applyFill="1" applyAlignment="1">
      <alignment horizontal="center" vertical="center" wrapText="1"/>
    </xf>
    <xf numFmtId="49" fontId="19" fillId="35" borderId="0" xfId="0" applyNumberFormat="1" applyFont="1" applyFill="1" applyAlignment="1">
      <alignment horizontal="center" vertical="center" wrapText="1"/>
    </xf>
    <xf numFmtId="49" fontId="19" fillId="36" borderId="0" xfId="0" applyNumberFormat="1" applyFont="1" applyFill="1" applyAlignment="1">
      <alignment horizontal="center" vertical="center" wrapText="1"/>
    </xf>
    <xf numFmtId="49" fontId="19" fillId="37" borderId="0" xfId="0" applyNumberFormat="1" applyFont="1" applyFill="1" applyAlignment="1">
      <alignment horizontal="center" vertical="center" wrapText="1"/>
    </xf>
    <xf numFmtId="41" fontId="18" fillId="0" borderId="0" xfId="42" applyFont="1" applyAlignment="1">
      <alignment horizontal="center" wrapText="1"/>
    </xf>
    <xf numFmtId="164" fontId="18" fillId="0" borderId="0" xfId="42" applyNumberFormat="1" applyFont="1" applyAlignment="1">
      <alignment horizontal="center" wrapText="1"/>
    </xf>
    <xf numFmtId="41" fontId="18" fillId="38" borderId="0" xfId="42" applyFont="1" applyFill="1" applyAlignment="1">
      <alignment horizontal="center" wrapText="1"/>
    </xf>
    <xf numFmtId="165" fontId="18" fillId="0" borderId="0" xfId="42" applyNumberFormat="1" applyFont="1" applyAlignment="1">
      <alignment horizontal="center" wrapText="1"/>
    </xf>
    <xf numFmtId="166" fontId="18" fillId="0" borderId="0" xfId="42" applyNumberFormat="1" applyFont="1" applyAlignment="1">
      <alignment horizontal="center" wrapText="1"/>
    </xf>
    <xf numFmtId="0" fontId="18" fillId="0" borderId="0" xfId="0" applyFont="1" applyAlignment="1"/>
    <xf numFmtId="0" fontId="0" fillId="0" borderId="0" xfId="0" applyAlignment="1"/>
    <xf numFmtId="0" fontId="0" fillId="38" borderId="0" xfId="0" applyFill="1" applyAlignment="1">
      <alignment horizontal="center"/>
    </xf>
    <xf numFmtId="0" fontId="16" fillId="38" borderId="0" xfId="0" applyFont="1" applyFill="1" applyAlignment="1">
      <alignment horizontal="center"/>
    </xf>
    <xf numFmtId="49" fontId="18" fillId="0" borderId="0" xfId="42" applyNumberFormat="1" applyFont="1" applyAlignment="1">
      <alignment horizontal="center" wrapText="1"/>
    </xf>
    <xf numFmtId="49" fontId="19" fillId="39" borderId="0" xfId="0" applyNumberFormat="1" applyFont="1" applyFill="1" applyAlignment="1">
      <alignment horizontal="center" vertical="center" wrapText="1"/>
    </xf>
    <xf numFmtId="41" fontId="21" fillId="0" borderId="0" xfId="42" applyFont="1" applyAlignment="1">
      <alignment horizontal="center" wrapText="1"/>
    </xf>
    <xf numFmtId="165" fontId="21" fillId="0" borderId="0" xfId="42" applyNumberFormat="1" applyFont="1" applyAlignment="1">
      <alignment horizontal="center" wrapText="1"/>
    </xf>
    <xf numFmtId="166" fontId="21" fillId="0" borderId="0" xfId="42" applyNumberFormat="1" applyFont="1" applyAlignment="1">
      <alignment horizont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[0]" xfId="42" builtinId="6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5" formatCode="_ * #,##0.00_ ;_ * \-#,##0.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6" formatCode="_ * #,##0.000_ ;_ * \-#,##0.0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 * #,##0.00_ ;_ * \-#,##0.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.000_ ;_ * \-#,##0.0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.000_ ;_ * \-#,##0.0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 * #,##0_ ;_ * \-#,##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.000_ ;_ * \-#,##0.0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 * #,##0.0_ ;_ * \-#,##0.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.000_ ;_ * \-#,##0.0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 * #,##0_ ;_ * \-#,##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 * #,##0_ ;_ * \-#,##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 * #,##0.00_ ;_ * \-#,##0.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 * #,##0.00_ ;_ * \-#,##0.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 * #,##0.00_ ;_ * \-#,##0.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 * #,##0_ ;_ * \-#,##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 * #,##0_ ;_ * \-#,##0_ ;_ * &quot;-&quot;_ ;_ @_ 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0" formatCode="@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 * #,##0.00_ ;_ * \-#,##0.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.000_ ;_ * \-#,##0.0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 * #,##0_ ;_ * \-#,##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.000_ ;_ * \-#,##0.0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.000_ ;_ * \-#,##0.0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.000_ ;_ * \-#,##0.0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 * #,##0_ ;_ * \-#,##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 * #,##0.00_ ;_ * \-#,##0.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 * #,##0.00_ ;_ * \-#,##0.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 * #,##0.00_ ;_ * \-#,##0.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 * #,##0.00_ ;_ * \-#,##0.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62E7D1-6E1A-4CB3-AE37-B2B441D5A2C8}" name="Todo_Gases_Chile" displayName="Todo_Gases_Chile" ref="A2:AG29" totalsRowShown="0" headerRowDxfId="71" dataDxfId="70">
  <autoFilter ref="A2:AG29" xr:uid="{B70683CC-222B-4197-BEBB-B08A8E7898CC}"/>
  <tableColumns count="33">
    <tableColumn id="1" xr3:uid="{7158FBDF-FEA3-471B-A42C-92B89F393C25}" name="Año" dataDxfId="69"/>
    <tableColumn id="2" xr3:uid="{F7BF00BC-E481-4FB7-974C-A25EBC237A54}" name="CO2" dataDxfId="68" dataCellStyle="Millares [0]"/>
    <tableColumn id="8" xr3:uid="{ED3D2D64-98C8-4B1C-AED5-77E1D346BAEE}" name="CO2 (CO2eq)" dataDxfId="67" dataCellStyle="Millares [0]"/>
    <tableColumn id="9" xr3:uid="{72AD2C7F-8A4D-4C89-9D9E-03AFD0C5A6EE}" name="Variación Anual CO2" dataDxfId="66" dataCellStyle="Millares [0]">
      <calculatedColumnFormula>IFERROR(Todo_Gases_Chile[[#This Row],[CO2]]-B2,"")</calculatedColumnFormula>
    </tableColumn>
    <tableColumn id="22" xr3:uid="{50C21A66-C62B-4967-829F-20ABB479E2B1}" name="Variación Anual CO2 (CO2eq)" dataDxfId="65" dataCellStyle="Millares [0]">
      <calculatedColumnFormula>IFERROR(Todo_Gases_Chile[[#This Row],[CO2 (CO2eq)]]-C2,"")</calculatedColumnFormula>
    </tableColumn>
    <tableColumn id="16" xr3:uid="{65CC7CEF-FE7C-462E-8843-95FEB3701EFA}" name="CO2 per cápita" dataDxfId="64" dataCellStyle="Millares [0]">
      <calculatedColumnFormula>(Todo_Gases_Chile[[#This Row],[CO2]]/Todo_Gases_Chile[[#This Row],[Población]])*1000</calculatedColumnFormula>
    </tableColumn>
    <tableColumn id="3" xr3:uid="{B1469A0C-13B9-4DC0-9AE8-84E502D39DF6}" name="CH4" dataDxfId="63" dataCellStyle="Millares [0]"/>
    <tableColumn id="23" xr3:uid="{68578F54-3D77-421C-BD09-AE7CBA0B2721}" name="CH4 (CO2eq)" dataDxfId="62" dataCellStyle="Millares [0]">
      <calculatedColumnFormula>Todo_Gases_Chile[[#This Row],[CH4]]*25</calculatedColumnFormula>
    </tableColumn>
    <tableColumn id="10" xr3:uid="{76A3A978-B1CB-4056-9C55-50B202E177CA}" name="Variación CH4" dataDxfId="61" dataCellStyle="Millares [0]">
      <calculatedColumnFormula>IFERROR(Todo_Gases_Chile[[#This Row],[CH4]]-G2,"")</calculatedColumnFormula>
    </tableColumn>
    <tableColumn id="24" xr3:uid="{7572F078-815B-4860-9ADB-7779642E320B}" name="Variación CH4 (CO2eq)" dataDxfId="60" dataCellStyle="Millares [0]">
      <calculatedColumnFormula>IFERROR(Todo_Gases_Chile[[#This Row],[Variación CH4]]*25,"")</calculatedColumnFormula>
    </tableColumn>
    <tableColumn id="17" xr3:uid="{6066960E-1D3E-4D08-A15D-8F20C2F1C37B}" name="CH4 per cápita" dataDxfId="59" dataCellStyle="Millares [0]">
      <calculatedColumnFormula>(Todo_Gases_Chile[[#This Row],[CH4 (CO2eq)]]/Todo_Gases_Chile[[#This Row],[Población]])*1000</calculatedColumnFormula>
    </tableColumn>
    <tableColumn id="4" xr3:uid="{AA1635BE-D69C-4432-920F-F6374432728C}" name="N2O" dataDxfId="58" dataCellStyle="Millares [0]"/>
    <tableColumn id="25" xr3:uid="{A454B457-35E4-4DA8-A3CC-54BA3D41F6A7}" name="N2O (CO2eq)" dataDxfId="57" dataCellStyle="Millares [0]">
      <calculatedColumnFormula>Todo_Gases_Chile[[#This Row],[N2O]]*298</calculatedColumnFormula>
    </tableColumn>
    <tableColumn id="11" xr3:uid="{9505DA53-C20A-4828-AC82-DC4957809C0F}" name="Variación N2O" dataDxfId="56" dataCellStyle="Millares [0]">
      <calculatedColumnFormula>IFERROR(Todo_Gases_Chile[[#This Row],[N2O]]-L2,"")</calculatedColumnFormula>
    </tableColumn>
    <tableColumn id="26" xr3:uid="{546C1A59-CC95-4396-8E6B-B1C898BF8C05}" name="Variación N2O (CO2eq)" dataDxfId="55" dataCellStyle="Millares [0]">
      <calculatedColumnFormula>IFERROR(Todo_Gases_Chile[[#This Row],[Variación N2O]]*298,"")</calculatedColumnFormula>
    </tableColumn>
    <tableColumn id="18" xr3:uid="{86CD1BA9-884B-46AA-A2F4-344BC73776CD}" name="N2O per cápita" dataDxfId="54" dataCellStyle="Millares [0]">
      <calculatedColumnFormula>(Todo_Gases_Chile[[#This Row],[N2O (CO2eq)]]/Todo_Gases_Chile[[#This Row],[Población]])*1000</calculatedColumnFormula>
    </tableColumn>
    <tableColumn id="5" xr3:uid="{5D683973-1FDA-4FAB-BA15-842122FFB471}" name="HFC" dataDxfId="53" dataCellStyle="Millares [0]">
      <calculatedColumnFormula>+Todo_Gases_Chile[[#This Row],[HFC (CO2eq)]]/7400</calculatedColumnFormula>
    </tableColumn>
    <tableColumn id="28" xr3:uid="{D564890F-8271-43EB-A840-8825ACF5CB11}" name="Variación HFC" dataDxfId="52" dataCellStyle="Millares [0]">
      <calculatedColumnFormula>IFERROR(Todo_Gases_Chile[[#This Row],[HFC]]-Q2,"")</calculatedColumnFormula>
    </tableColumn>
    <tableColumn id="27" xr3:uid="{F85F969B-F532-42F3-BEB9-E7EAEA187D6E}" name="HFC (CO2eq)" dataDxfId="51" dataCellStyle="Millares [0]"/>
    <tableColumn id="12" xr3:uid="{C48DE327-A905-49E6-947F-04DB1AAD67DA}" name="Variación HFC (CO2eq)" dataDxfId="50" dataCellStyle="Millares [0]">
      <calculatedColumnFormula>IFERROR(Todo_Gases_Chile[[#This Row],[HFC (CO2eq)]]-S2,"")</calculatedColumnFormula>
    </tableColumn>
    <tableColumn id="19" xr3:uid="{80E34099-D465-4BDA-A5F0-489FDE91E75C}" name="HFC per cápita" dataDxfId="49" dataCellStyle="Millares [0]">
      <calculatedColumnFormula>(Todo_Gases_Chile[[#This Row],[HFC (CO2eq)]]/Todo_Gases_Chile[[#This Row],[Población]])*1000</calculatedColumnFormula>
    </tableColumn>
    <tableColumn id="29" xr3:uid="{840560B0-C3CA-4D1F-BBF2-E54ABB615FA1}" name="SF6" dataDxfId="48" dataCellStyle="Millares [0]">
      <calculatedColumnFormula>+Todo_Gases_Chile[[#This Row],[SF6 (CO2eq)]]/22800</calculatedColumnFormula>
    </tableColumn>
    <tableColumn id="30" xr3:uid="{5DBC93A0-4F6F-4B47-BB59-263970ED047F}" name="Variación SF6" dataDxfId="47" dataCellStyle="Millares [0]">
      <calculatedColumnFormula>IFERROR(Todo_Gases_Chile[[#This Row],[SF6]]-V2,"")</calculatedColumnFormula>
    </tableColumn>
    <tableColumn id="6" xr3:uid="{52A66CD1-361C-4E7F-98B3-EFF35B84353E}" name="SF6 (CO2eq)" dataDxfId="46" dataCellStyle="Millares [0]"/>
    <tableColumn id="13" xr3:uid="{0CE9F65F-5906-41AE-88CD-AE9BCF01BA01}" name="Variación SF6 (CO2eq)" dataDxfId="45" dataCellStyle="Millares [0]">
      <calculatedColumnFormula>IFERROR(Todo_Gases_Chile[[#This Row],[SF6 (CO2eq)]]-X2,"")</calculatedColumnFormula>
    </tableColumn>
    <tableColumn id="20" xr3:uid="{3ED8E3C7-5611-421C-ACA5-C1D3E5798319}" name="SF6 per cápita" dataDxfId="44" dataCellStyle="Millares [0]">
      <calculatedColumnFormula>(Todo_Gases_Chile[[#This Row],[SF6 (CO2eq)]]/Todo_Gases_Chile[[#This Row],[Población]])*1000</calculatedColumnFormula>
    </tableColumn>
    <tableColumn id="7" xr3:uid="{1B015680-EBF5-4DEF-8D0E-8AC8104F202C}" name="CO2eq" dataDxfId="43" dataCellStyle="Millares [0]">
      <calculatedColumnFormula>+Todo_Gases_Chile[[#This Row],[CO2 (CO2eq)]]+Todo_Gases_Chile[[#This Row],[CH4 (CO2eq)]]+Todo_Gases_Chile[[#This Row],[N2O (CO2eq)]]+Todo_Gases_Chile[[#This Row],[HFC (CO2eq)]]+Todo_Gases_Chile[[#This Row],[SF6 (CO2eq)]]</calculatedColumnFormula>
    </tableColumn>
    <tableColumn id="14" xr3:uid="{71C247BD-4FE6-493B-9C57-DCCBD431BB2B}" name="Variación CO2eq" dataDxfId="42" dataCellStyle="Millares [0]">
      <calculatedColumnFormula>IFERROR(Todo_Gases_Chile[[#This Row],[CO2eq]]-AA2,"")</calculatedColumnFormula>
    </tableColumn>
    <tableColumn id="21" xr3:uid="{923547CB-9689-4417-AC25-B9D303EBFE93}" name="CO2eq per cápita" dataDxfId="41" dataCellStyle="Millares [0]">
      <calculatedColumnFormula>(Todo_Gases_Chile[[#This Row],[CO2eq]]/Todo_Gases_Chile[[#This Row],[Población]])*1000</calculatedColumnFormula>
    </tableColumn>
    <tableColumn id="15" xr3:uid="{07ACE464-88E8-4806-8DCD-D8EAF152256A}" name="Población" dataDxfId="40" dataCellStyle="Millares [0]"/>
    <tableColumn id="31" xr3:uid="{0D264D80-644B-42F3-9B16-453DAC7ED6B9}" name="CO2e Total" dataDxfId="39" dataCellStyle="Millares [0]"/>
    <tableColumn id="32" xr3:uid="{E1C19221-63D7-4ACE-B88F-F6572A53DCD5}" name="Variación CO2eq total" dataDxfId="38" dataCellStyle="Millares [0]"/>
    <tableColumn id="33" xr3:uid="{37902D23-5D94-4905-A959-5952BB65AE26}" name="CO2eq total per cápita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D6D74-DD3E-402C-94CF-D18B854691C6}" name="Todo_Gases_Chile_ton" displayName="Todo_Gases_Chile_ton" ref="A2:AI29" totalsRowShown="0" headerRowDxfId="36" dataDxfId="35">
  <autoFilter ref="A2:AI29" xr:uid="{B70683CC-222B-4197-BEBB-B08A8E7898CC}"/>
  <tableColumns count="35">
    <tableColumn id="1" xr3:uid="{5088B45F-6876-494E-AFC9-048004600909}" name="Año" dataDxfId="34"/>
    <tableColumn id="2" xr3:uid="{127C8A41-49D9-42FF-A845-FF9BC6B9FCEB}" name="CO2" dataDxfId="33" dataCellStyle="Millares [0]">
      <calculatedColumnFormula>'Ark1'!B3*1000</calculatedColumnFormula>
    </tableColumn>
    <tableColumn id="8" xr3:uid="{92F189BB-6F84-42F9-8156-31A422E00569}" name="CO2 (CO2eq)" dataDxfId="32" dataCellStyle="Millares [0]">
      <calculatedColumnFormula>'Ark1'!C3*1000</calculatedColumnFormula>
    </tableColumn>
    <tableColumn id="9" xr3:uid="{107F1700-9923-4174-8881-6B1F0A88E02B}" name="Variación Anual CO2" dataDxfId="31" dataCellStyle="Millares [0]">
      <calculatedColumnFormula>IFERROR(Todo_Gases_Chile_ton[[#This Row],[CO2]]-B2,"")</calculatedColumnFormula>
    </tableColumn>
    <tableColumn id="22" xr3:uid="{B2376B63-F4B2-4622-9F49-F52735352B66}" name="Variación Anual CO2 (CO2eq)" dataDxfId="30" dataCellStyle="Millares [0]">
      <calculatedColumnFormula>IFERROR(Todo_Gases_Chile_ton[[#This Row],[CO2 (CO2eq)]]-C2,"")</calculatedColumnFormula>
    </tableColumn>
    <tableColumn id="16" xr3:uid="{42DE82C6-DB0A-41F9-A194-B0217E9F0BA3}" name="CO2 per cápita" dataDxfId="29" dataCellStyle="Millares [0]">
      <calculatedColumnFormula>(Todo_Gases_Chile_ton[[#This Row],[CO2]]/Todo_Gases_Chile_ton[[#This Row],[Población]])</calculatedColumnFormula>
    </tableColumn>
    <tableColumn id="3" xr3:uid="{23CF2737-354F-42F4-A37B-E81E3309638A}" name="CH4" dataDxfId="28" dataCellStyle="Millares [0]">
      <calculatedColumnFormula>'Ark1'!G3*1000</calculatedColumnFormula>
    </tableColumn>
    <tableColumn id="23" xr3:uid="{6AEC6ADC-0D4D-4520-A42B-D1B61F4D43C9}" name="CH4 (CO2eq)" dataDxfId="27" dataCellStyle="Millares [0]">
      <calculatedColumnFormula>Todo_Gases_Chile_ton[[#This Row],[CH4]]*25</calculatedColumnFormula>
    </tableColumn>
    <tableColumn id="10" xr3:uid="{03D0DCE5-CEA8-4824-98B8-623FD5FBD11F}" name="Variación CH4" dataDxfId="26" dataCellStyle="Millares [0]">
      <calculatedColumnFormula>IFERROR(Todo_Gases_Chile_ton[[#This Row],[CH4]]-G2,"")</calculatedColumnFormula>
    </tableColumn>
    <tableColumn id="24" xr3:uid="{7B20F448-C3B4-4652-B8A6-1DDDC80AE51E}" name="Variación CH4 (CO2eq)" dataDxfId="25" dataCellStyle="Millares [0]">
      <calculatedColumnFormula>IFERROR(Todo_Gases_Chile_ton[[#This Row],[Variación CH4]]*25,"")</calculatedColumnFormula>
    </tableColumn>
    <tableColumn id="17" xr3:uid="{A3E52597-7364-4D28-BF23-F5B639DB9713}" name="CH4 per cápita" dataDxfId="24" dataCellStyle="Millares [0]">
      <calculatedColumnFormula>(Todo_Gases_Chile_ton[[#This Row],[CH4 (CO2eq)]]/Todo_Gases_Chile_ton[[#This Row],[Población]])</calculatedColumnFormula>
    </tableColumn>
    <tableColumn id="4" xr3:uid="{1A6AE664-3174-4CAA-B27C-C71E9CE750D2}" name="N2O" dataDxfId="23" dataCellStyle="Millares [0]">
      <calculatedColumnFormula>'Ark1'!L3*1000</calculatedColumnFormula>
    </tableColumn>
    <tableColumn id="25" xr3:uid="{57EF603E-8832-4E7F-A466-82029CBBE5C4}" name="N2O (CO2eq)" dataDxfId="22" dataCellStyle="Millares [0]">
      <calculatedColumnFormula>Todo_Gases_Chile_ton[[#This Row],[N2O]]*298</calculatedColumnFormula>
    </tableColumn>
    <tableColumn id="11" xr3:uid="{9A683103-4030-419B-8D01-90641435BC25}" name="Variación N2O" dataDxfId="21" dataCellStyle="Millares [0]">
      <calculatedColumnFormula>IFERROR(Todo_Gases_Chile_ton[[#This Row],[N2O]]-L2,"")</calculatedColumnFormula>
    </tableColumn>
    <tableColumn id="26" xr3:uid="{DA4FC015-3029-4BC2-8C39-C00E8D975617}" name="Variación N2O (CO2eq)" dataDxfId="20" dataCellStyle="Millares [0]">
      <calculatedColumnFormula>IFERROR(Todo_Gases_Chile_ton[[#This Row],[Variación N2O]]*298,"")</calculatedColumnFormula>
    </tableColumn>
    <tableColumn id="18" xr3:uid="{BD93884C-D0CF-468B-BF27-D9EDDAF49E66}" name="N2O per cápita" dataDxfId="19" dataCellStyle="Millares [0]">
      <calculatedColumnFormula>(Todo_Gases_Chile_ton[[#This Row],[N2O (CO2eq)]]/Todo_Gases_Chile_ton[[#This Row],[Población]])</calculatedColumnFormula>
    </tableColumn>
    <tableColumn id="5" xr3:uid="{AC035BBB-522E-4A47-BAA0-804C9E279326}" name="HFC" dataDxfId="18" dataCellStyle="Millares [0]">
      <calculatedColumnFormula>'Ark1'!Q3*1000</calculatedColumnFormula>
    </tableColumn>
    <tableColumn id="28" xr3:uid="{A3F58F6B-E61A-454C-8319-4ED2602BE50E}" name="Variación HFC" dataDxfId="17" dataCellStyle="Millares [0]">
      <calculatedColumnFormula>IFERROR(Todo_Gases_Chile_ton[[#This Row],[HFC]]-Q2,"")</calculatedColumnFormula>
    </tableColumn>
    <tableColumn id="27" xr3:uid="{548C79AC-7AFB-4533-AC02-58022C93C557}" name="HFC (CO2eq)" dataDxfId="16" dataCellStyle="Millares [0]">
      <calculatedColumnFormula>'Ark1'!S3*1000</calculatedColumnFormula>
    </tableColumn>
    <tableColumn id="12" xr3:uid="{E2A2A4BC-C3D7-4BFA-983D-59FA050688B6}" name="Variación HFC (CO2eq)" dataDxfId="15" dataCellStyle="Millares [0]">
      <calculatedColumnFormula>IFERROR(Todo_Gases_Chile_ton[[#This Row],[HFC (CO2eq)]]-S2,"")</calculatedColumnFormula>
    </tableColumn>
    <tableColumn id="19" xr3:uid="{7D01BE19-6C16-430E-A725-C2A77965B314}" name="HFC per cápita" dataDxfId="14" dataCellStyle="Millares [0]">
      <calculatedColumnFormula>(Todo_Gases_Chile_ton[[#This Row],[HFC (CO2eq)]]/Todo_Gases_Chile_ton[[#This Row],[Población]])</calculatedColumnFormula>
    </tableColumn>
    <tableColumn id="29" xr3:uid="{FBB54040-259E-4E8E-9768-90BA043F9025}" name="SF6" dataDxfId="13" dataCellStyle="Millares [0]">
      <calculatedColumnFormula>'Ark1'!V3*1000</calculatedColumnFormula>
    </tableColumn>
    <tableColumn id="30" xr3:uid="{2145433F-448C-4317-BEDF-D19084E6E2E0}" name="Variación SF6" dataDxfId="12" dataCellStyle="Millares [0]">
      <calculatedColumnFormula>IFERROR(Todo_Gases_Chile_ton[[#This Row],[SF6]]-V2,"")</calculatedColumnFormula>
    </tableColumn>
    <tableColumn id="6" xr3:uid="{90EBD305-F779-4E81-98F2-9A36FD546C98}" name="SF6 (CO2eq)" dataDxfId="11" dataCellStyle="Millares [0]">
      <calculatedColumnFormula>'Ark1'!X3*1000</calculatedColumnFormula>
    </tableColumn>
    <tableColumn id="13" xr3:uid="{E184A7E7-427E-4B12-85E4-5CD3D99FCB2B}" name="Variación SF6 (CO2eq)" dataDxfId="10" dataCellStyle="Millares [0]">
      <calculatedColumnFormula>IFERROR(Todo_Gases_Chile_ton[[#This Row],[SF6 (CO2eq)]]-X2,"")</calculatedColumnFormula>
    </tableColumn>
    <tableColumn id="20" xr3:uid="{2D72BB85-4D7A-4906-92BF-09BB6A5E7770}" name="SF6 per cápita" dataDxfId="9" dataCellStyle="Millares [0]">
      <calculatedColumnFormula>(Todo_Gases_Chile_ton[[#This Row],[SF6 (CO2eq)]]/Todo_Gases_Chile_ton[[#This Row],[Población]])</calculatedColumnFormula>
    </tableColumn>
    <tableColumn id="7" xr3:uid="{21B4A9FB-E574-4076-BEAA-6AD48EE16836}" name="ton netas CO2eq" dataDxfId="8" dataCellStyle="Millares [0]">
      <calculatedColumnFormula>+Todo_Gases_Chile_ton[[#This Row],[CO2 (CO2eq)]]+Todo_Gases_Chile_ton[[#This Row],[CH4 (CO2eq)]]+Todo_Gases_Chile_ton[[#This Row],[N2O (CO2eq)]]+Todo_Gases_Chile_ton[[#This Row],[HFC (CO2eq)]]+Todo_Gases_Chile_ton[[#This Row],[SF6 (CO2eq)]]</calculatedColumnFormula>
    </tableColumn>
    <tableColumn id="14" xr3:uid="{D614AEA6-3DC5-4A6D-A784-0DA8618F9E05}" name="Variación ton CO2eq" dataDxfId="7" dataCellStyle="Millares [0]">
      <calculatedColumnFormula>IFERROR(Todo_Gases_Chile_ton[[#This Row],[ton netas CO2eq]]-AA2,"")</calculatedColumnFormula>
    </tableColumn>
    <tableColumn id="34" xr3:uid="{FC4DB636-2EDD-4D4D-A0BD-B98B9CEDAE35}" name="Variacion % Emisiones Netas Anuales" dataDxfId="6" dataCellStyle="Millares [0]">
      <calculatedColumnFormula>+IFERROR(Todo_Gases_Chile_ton[[#This Row],[Variación ton CO2eq]]/AA2,"")</calculatedColumnFormula>
    </tableColumn>
    <tableColumn id="21" xr3:uid="{E219BADA-A5A5-4ACD-A24B-50CC71C974E1}" name="ton CO2eq netas per cápita" dataDxfId="5" dataCellStyle="Millares [0]">
      <calculatedColumnFormula>(Todo_Gases_Chile_ton[[#This Row],[ton netas CO2eq]]/Todo_Gases_Chile_ton[[#This Row],[Población]])</calculatedColumnFormula>
    </tableColumn>
    <tableColumn id="15" xr3:uid="{76BA42A2-2E99-466B-9101-91C8697E8618}" name="Población" dataDxfId="4" dataCellStyle="Millares [0]"/>
    <tableColumn id="31" xr3:uid="{73A4C932-6BD4-4931-9A76-233C9D1AC08E}" name="CO2e Total" dataDxfId="3" dataCellStyle="Millares [0]"/>
    <tableColumn id="32" xr3:uid="{19C05271-B5B8-4ABE-B930-729F3AC1D46A}" name="Variación CO2eq total" dataDxfId="2" dataCellStyle="Millares [0]">
      <calculatedColumnFormula>+IFERROR(Todo_Gases_Chile_ton[[#This Row],[CO2e Total]]-AF2,"")</calculatedColumnFormula>
    </tableColumn>
    <tableColumn id="35" xr3:uid="{F647EDCB-19D5-4754-BEC6-A348D53A9531}" name="Variacion % Emisiones Totales Anuales" dataDxfId="1" dataCellStyle="Millares [0]">
      <calculatedColumnFormula>+IFERROR(Todo_Gases_Chile_ton[[#This Row],[Variación CO2eq total]]/AF2,"")</calculatedColumnFormula>
    </tableColumn>
    <tableColumn id="33" xr3:uid="{588A5335-BEA7-4663-826B-990585732E53}" name="ton CO2eq total per cápita" dataDxfId="0" dataCellStyle="Millares [0]">
      <calculatedColumnFormula>+Todo_Gases_Chile_ton[[#This Row],[CO2e Total]]/Todo_Gases_Chile_ton[[#This Row],[Población]]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9"/>
  <sheetViews>
    <sheetView workbookViewId="0">
      <pane ySplit="2" topLeftCell="A3" activePane="bottomLeft" state="frozen"/>
      <selection activeCell="M1" sqref="M1"/>
      <selection pane="bottomLeft" activeCell="G36" sqref="G36"/>
    </sheetView>
  </sheetViews>
  <sheetFormatPr baseColWidth="10" defaultColWidth="9.140625" defaultRowHeight="15" x14ac:dyDescent="0.25"/>
  <cols>
    <col min="1" max="1" width="8" bestFit="1" customWidth="1"/>
    <col min="2" max="2" width="9" bestFit="1" customWidth="1"/>
    <col min="3" max="3" width="9" style="4" customWidth="1"/>
    <col min="4" max="4" width="12.7109375" style="3" bestFit="1" customWidth="1"/>
    <col min="5" max="5" width="12.7109375" style="4" customWidth="1"/>
    <col min="6" max="6" width="17" style="3" bestFit="1" customWidth="1"/>
    <col min="7" max="7" width="6.42578125" bestFit="1" customWidth="1"/>
    <col min="8" max="8" width="10.42578125" style="4" bestFit="1" customWidth="1"/>
    <col min="9" max="9" width="10.7109375" style="3" bestFit="1" customWidth="1"/>
    <col min="10" max="10" width="10.7109375" style="4" customWidth="1"/>
    <col min="11" max="11" width="10.7109375" style="3" customWidth="1"/>
    <col min="12" max="12" width="6.7109375" customWidth="1"/>
    <col min="13" max="13" width="10.42578125" style="4" bestFit="1" customWidth="1"/>
    <col min="14" max="14" width="10.7109375" style="3" bestFit="1" customWidth="1"/>
    <col min="15" max="15" width="12.7109375" style="4" bestFit="1" customWidth="1"/>
    <col min="16" max="16" width="10.7109375" style="3" customWidth="1"/>
    <col min="17" max="17" width="8.42578125" bestFit="1" customWidth="1"/>
    <col min="18" max="18" width="8.42578125" style="6" customWidth="1"/>
    <col min="19" max="19" width="12" style="6" bestFit="1" customWidth="1"/>
    <col min="20" max="20" width="12.7109375" style="3" bestFit="1" customWidth="1"/>
    <col min="21" max="21" width="11" style="3" customWidth="1"/>
    <col min="22" max="23" width="12.7109375" style="6" customWidth="1"/>
    <col min="24" max="24" width="10.42578125" bestFit="1" customWidth="1"/>
    <col min="25" max="25" width="10.7109375" style="3" bestFit="1" customWidth="1"/>
    <col min="26" max="26" width="14.42578125" style="3" bestFit="1" customWidth="1"/>
    <col min="27" max="27" width="8.42578125" bestFit="1" customWidth="1"/>
    <col min="28" max="28" width="12.7109375" bestFit="1" customWidth="1"/>
    <col min="29" max="29" width="12.7109375" style="3" customWidth="1"/>
    <col min="30" max="30" width="10.7109375" bestFit="1" customWidth="1"/>
    <col min="33" max="33" width="11.5703125" customWidth="1"/>
  </cols>
  <sheetData>
    <row r="1" spans="1:60" x14ac:dyDescent="0.25">
      <c r="A1" s="18" t="s">
        <v>26</v>
      </c>
      <c r="B1" s="19"/>
      <c r="C1" s="19"/>
      <c r="D1" s="19"/>
      <c r="E1" s="19"/>
      <c r="F1" s="21" t="s">
        <v>31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20" t="s">
        <v>36</v>
      </c>
      <c r="AB1" s="20" t="s">
        <v>36</v>
      </c>
      <c r="AC1" s="20" t="s">
        <v>36</v>
      </c>
    </row>
    <row r="2" spans="1:60" ht="38.25" x14ac:dyDescent="0.25">
      <c r="A2" s="1" t="s">
        <v>4</v>
      </c>
      <c r="B2" s="8" t="s">
        <v>0</v>
      </c>
      <c r="C2" s="8" t="s">
        <v>16</v>
      </c>
      <c r="D2" s="8" t="s">
        <v>5</v>
      </c>
      <c r="E2" s="8" t="s">
        <v>17</v>
      </c>
      <c r="F2" s="8" t="s">
        <v>10</v>
      </c>
      <c r="G2" s="9" t="s">
        <v>1</v>
      </c>
      <c r="H2" s="9" t="s">
        <v>18</v>
      </c>
      <c r="I2" s="9" t="s">
        <v>6</v>
      </c>
      <c r="J2" s="9" t="s">
        <v>19</v>
      </c>
      <c r="K2" s="9" t="s">
        <v>11</v>
      </c>
      <c r="L2" s="10" t="s">
        <v>2</v>
      </c>
      <c r="M2" s="10" t="s">
        <v>20</v>
      </c>
      <c r="N2" s="10" t="s">
        <v>7</v>
      </c>
      <c r="O2" s="10" t="s">
        <v>21</v>
      </c>
      <c r="P2" s="10" t="s">
        <v>12</v>
      </c>
      <c r="Q2" s="11" t="s">
        <v>27</v>
      </c>
      <c r="R2" s="11" t="s">
        <v>28</v>
      </c>
      <c r="S2" s="11" t="s">
        <v>22</v>
      </c>
      <c r="T2" s="11" t="s">
        <v>23</v>
      </c>
      <c r="U2" s="11" t="s">
        <v>13</v>
      </c>
      <c r="V2" s="12" t="s">
        <v>29</v>
      </c>
      <c r="W2" s="12" t="s">
        <v>30</v>
      </c>
      <c r="X2" s="12" t="s">
        <v>24</v>
      </c>
      <c r="Y2" s="12" t="s">
        <v>25</v>
      </c>
      <c r="Z2" s="12" t="s">
        <v>14</v>
      </c>
      <c r="AA2" s="1" t="s">
        <v>3</v>
      </c>
      <c r="AB2" s="1" t="s">
        <v>8</v>
      </c>
      <c r="AC2" s="1" t="s">
        <v>15</v>
      </c>
      <c r="AD2" s="1" t="s">
        <v>9</v>
      </c>
      <c r="AE2" s="1" t="s">
        <v>37</v>
      </c>
      <c r="AF2" s="1" t="s">
        <v>38</v>
      </c>
      <c r="AG2" s="1" t="s">
        <v>39</v>
      </c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x14ac:dyDescent="0.25">
      <c r="A3" s="2">
        <v>1990</v>
      </c>
      <c r="B3" s="13">
        <v>-16787.595765099999</v>
      </c>
      <c r="C3" s="13">
        <v>-16787.595765099999</v>
      </c>
      <c r="D3" s="13" t="str">
        <f>IFERROR(Todo_Gases_Chile[[#This Row],[CO2]]-B2,"")</f>
        <v/>
      </c>
      <c r="E3" s="13" t="str">
        <f>IFERROR(Todo_Gases_Chile[[#This Row],[CO2 (CO2eq)]]-C2,"")</f>
        <v/>
      </c>
      <c r="F3" s="16">
        <f>(Todo_Gases_Chile[[#This Row],[CO2]]/Todo_Gases_Chile[[#This Row],[Población]])*1000</f>
        <v>-1.2738140803626981</v>
      </c>
      <c r="G3" s="13">
        <v>520.99656970000001</v>
      </c>
      <c r="H3" s="13">
        <f>Todo_Gases_Chile[[#This Row],[CH4]]*25</f>
        <v>13024.914242500001</v>
      </c>
      <c r="I3" s="13" t="str">
        <f>IFERROR(Todo_Gases_Chile[[#This Row],[CH4]]-G2,"")</f>
        <v/>
      </c>
      <c r="J3" s="13" t="str">
        <f>IFERROR(Todo_Gases_Chile[[#This Row],[Variación CH4]]*25,"")</f>
        <v/>
      </c>
      <c r="K3" s="16">
        <f>(Todo_Gases_Chile[[#This Row],[CH4 (CO2eq)]]/Todo_Gases_Chile[[#This Row],[Población]])*1000</f>
        <v>0.98830823601942497</v>
      </c>
      <c r="L3" s="13">
        <v>18.98094</v>
      </c>
      <c r="M3" s="13">
        <f>Todo_Gases_Chile[[#This Row],[N2O]]*298</f>
        <v>5656.3201200000003</v>
      </c>
      <c r="N3" s="13" t="str">
        <f>IFERROR(Todo_Gases_Chile[[#This Row],[N2O]]-L2,"")</f>
        <v/>
      </c>
      <c r="O3" s="13" t="str">
        <f>IFERROR(Todo_Gases_Chile[[#This Row],[Variación N2O]]*298,"")</f>
        <v/>
      </c>
      <c r="P3" s="16">
        <f>(Todo_Gases_Chile[[#This Row],[N2O (CO2eq)]]/Todo_Gases_Chile[[#This Row],[Población]])*1000</f>
        <v>0.42919190530389262</v>
      </c>
      <c r="Q3" s="16">
        <f>+Todo_Gases_Chile[[#This Row],[HFC (CO2eq)]]/7400</f>
        <v>0</v>
      </c>
      <c r="R3" s="13" t="str">
        <f>IFERROR(Todo_Gases_Chile[[#This Row],[HFC]]-Q2,"")</f>
        <v/>
      </c>
      <c r="S3" s="13">
        <v>0</v>
      </c>
      <c r="T3" s="13" t="str">
        <f>IFERROR(Todo_Gases_Chile[[#This Row],[HFC (CO2eq)]]-S2,"")</f>
        <v/>
      </c>
      <c r="U3" s="17">
        <f>(Todo_Gases_Chile[[#This Row],[HFC (CO2eq)]]/Todo_Gases_Chile[[#This Row],[Población]])*1000</f>
        <v>0</v>
      </c>
      <c r="V3" s="17">
        <f>+Todo_Gases_Chile[[#This Row],[SF6 (CO2eq)]]/22800</f>
        <v>2.6898428026315793E-3</v>
      </c>
      <c r="W3" s="17" t="str">
        <f>IFERROR(Todo_Gases_Chile[[#This Row],[SF6]]-V2,"")</f>
        <v/>
      </c>
      <c r="X3" s="13">
        <v>61.328415900000003</v>
      </c>
      <c r="Y3" s="13" t="str">
        <f>IFERROR(Todo_Gases_Chile[[#This Row],[SF6 (CO2eq)]]-X2,"")</f>
        <v/>
      </c>
      <c r="Z3" s="17">
        <f>(Todo_Gases_Chile[[#This Row],[SF6 (CO2eq)]]/Todo_Gases_Chile[[#This Row],[Población]])*1000</f>
        <v>4.6534954017755517E-3</v>
      </c>
      <c r="AA3" s="13">
        <f>+Todo_Gases_Chile[[#This Row],[CO2 (CO2eq)]]+Todo_Gases_Chile[[#This Row],[CH4 (CO2eq)]]+Todo_Gases_Chile[[#This Row],[N2O (CO2eq)]]+Todo_Gases_Chile[[#This Row],[HFC (CO2eq)]]+Todo_Gases_Chile[[#This Row],[SF6 (CO2eq)]]</f>
        <v>1954.9670133000022</v>
      </c>
      <c r="AB3" s="13" t="str">
        <f>IFERROR(Todo_Gases_Chile[[#This Row],[CO2eq]]-AA2,"")</f>
        <v/>
      </c>
      <c r="AC3" s="16">
        <f>(Todo_Gases_Chile[[#This Row],[CO2eq]]/Todo_Gases_Chile[[#This Row],[Población]])*1000</f>
        <v>0.1483395563623949</v>
      </c>
      <c r="AD3" s="13">
        <v>13179000</v>
      </c>
      <c r="AE3" s="22"/>
      <c r="AF3" s="22"/>
      <c r="AG3" s="5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60" x14ac:dyDescent="0.25">
      <c r="A4" s="2">
        <v>1991</v>
      </c>
      <c r="B4" s="13">
        <v>-14190.878567395999</v>
      </c>
      <c r="C4" s="15">
        <v>-14190.878567395999</v>
      </c>
      <c r="D4" s="13">
        <f>IFERROR(Todo_Gases_Chile[[#This Row],[CO2]]-B3,"")</f>
        <v>2596.7171977039998</v>
      </c>
      <c r="E4" s="13">
        <f>IFERROR(Todo_Gases_Chile[[#This Row],[CO2 (CO2eq)]]-C3,"")</f>
        <v>2596.7171977039998</v>
      </c>
      <c r="F4" s="16">
        <f>(Todo_Gases_Chile[[#This Row],[CO2]]/Todo_Gases_Chile[[#This Row],[Población]])*1000</f>
        <v>-1.0572849476528088</v>
      </c>
      <c r="G4" s="13">
        <v>516.09634559999995</v>
      </c>
      <c r="H4" s="15">
        <f>Todo_Gases_Chile[[#This Row],[CH4]]*25</f>
        <v>12902.408639999998</v>
      </c>
      <c r="I4" s="13">
        <f>IFERROR(Todo_Gases_Chile[[#This Row],[CH4]]-G3,"")</f>
        <v>-4.9002241000000595</v>
      </c>
      <c r="J4" s="13">
        <f>IFERROR(Todo_Gases_Chile[[#This Row],[Variación CH4]]*25,"")</f>
        <v>-122.50560250000149</v>
      </c>
      <c r="K4" s="16">
        <f>(Todo_Gases_Chile[[#This Row],[CH4 (CO2eq)]]/Todo_Gases_Chile[[#This Row],[Población]])*1000</f>
        <v>0.96128808225301721</v>
      </c>
      <c r="L4" s="13">
        <v>19.154969399999999</v>
      </c>
      <c r="M4" s="15">
        <f>Todo_Gases_Chile[[#This Row],[N2O]]*298</f>
        <v>5708.1808811999999</v>
      </c>
      <c r="N4" s="13">
        <f>IFERROR(Todo_Gases_Chile[[#This Row],[N2O]]-L3,"")</f>
        <v>0.17402939999999845</v>
      </c>
      <c r="O4" s="13">
        <f>IFERROR(Todo_Gases_Chile[[#This Row],[Variación N2O]]*298,"")</f>
        <v>51.860761199999537</v>
      </c>
      <c r="P4" s="16">
        <f>(Todo_Gases_Chile[[#This Row],[N2O (CO2eq)]]/Todo_Gases_Chile[[#This Row],[Población]])*1000</f>
        <v>0.42528541805990167</v>
      </c>
      <c r="Q4" s="16">
        <f>+Todo_Gases_Chile[[#This Row],[HFC (CO2eq)]]/7400</f>
        <v>0</v>
      </c>
      <c r="R4" s="13">
        <f>IFERROR(Todo_Gases_Chile[[#This Row],[HFC]]-Q3,"")</f>
        <v>0</v>
      </c>
      <c r="S4" s="15">
        <v>0</v>
      </c>
      <c r="T4" s="13">
        <f>IFERROR(Todo_Gases_Chile[[#This Row],[HFC (CO2eq)]]-S3,"")</f>
        <v>0</v>
      </c>
      <c r="U4" s="17">
        <f>(Todo_Gases_Chile[[#This Row],[HFC (CO2eq)]]/Todo_Gases_Chile[[#This Row],[Población]])*1000</f>
        <v>0</v>
      </c>
      <c r="V4" s="17">
        <f>+Todo_Gases_Chile[[#This Row],[SF6 (CO2eq)]]/22800</f>
        <v>1.9188581973684209E-3</v>
      </c>
      <c r="W4" s="17">
        <f>IFERROR(Todo_Gases_Chile[[#This Row],[SF6]]-V3,"")</f>
        <v>-7.7098460526315834E-4</v>
      </c>
      <c r="X4" s="15">
        <v>43.749966899999997</v>
      </c>
      <c r="Y4" s="13">
        <f>IFERROR(Todo_Gases_Chile[[#This Row],[SF6 (CO2eq)]]-X3,"")</f>
        <v>-17.578449000000006</v>
      </c>
      <c r="Z4" s="17">
        <f>(Todo_Gases_Chile[[#This Row],[SF6 (CO2eq)]]/Todo_Gases_Chile[[#This Row],[Población]])*1000</f>
        <v>3.2595713679034423E-3</v>
      </c>
      <c r="AA4" s="13">
        <f>+Todo_Gases_Chile[[#This Row],[CO2 (CO2eq)]]+Todo_Gases_Chile[[#This Row],[CH4 (CO2eq)]]+Todo_Gases_Chile[[#This Row],[N2O (CO2eq)]]+Todo_Gases_Chile[[#This Row],[HFC (CO2eq)]]+Todo_Gases_Chile[[#This Row],[SF6 (CO2eq)]]</f>
        <v>4463.4609207039985</v>
      </c>
      <c r="AB4" s="13">
        <f>IFERROR(Todo_Gases_Chile[[#This Row],[CO2eq]]-AA3,"")</f>
        <v>2508.4939074039962</v>
      </c>
      <c r="AC4" s="16">
        <f>(Todo_Gases_Chile[[#This Row],[CO2eq]]/Todo_Gases_Chile[[#This Row],[Población]])*1000</f>
        <v>0.33254812402801359</v>
      </c>
      <c r="AD4" s="13">
        <v>13422000</v>
      </c>
      <c r="AE4" s="22"/>
      <c r="AF4" s="22"/>
      <c r="AG4" s="5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60" x14ac:dyDescent="0.25">
      <c r="A5" s="2">
        <v>1992</v>
      </c>
      <c r="B5" s="13">
        <v>-15574.397771365</v>
      </c>
      <c r="C5" s="13">
        <v>-15574.397771365</v>
      </c>
      <c r="D5" s="13">
        <f>IFERROR(Todo_Gases_Chile[[#This Row],[CO2]]-B4,"")</f>
        <v>-1383.519203969001</v>
      </c>
      <c r="E5" s="13">
        <f>IFERROR(Todo_Gases_Chile[[#This Row],[CO2 (CO2eq)]]-C4,"")</f>
        <v>-1383.519203969001</v>
      </c>
      <c r="F5" s="16">
        <f>(Todo_Gases_Chile[[#This Row],[CO2]]/Todo_Gases_Chile[[#This Row],[Población]])*1000</f>
        <v>-1.1337502714455974</v>
      </c>
      <c r="G5" s="13">
        <v>517.10483680000004</v>
      </c>
      <c r="H5" s="13">
        <f>Todo_Gases_Chile[[#This Row],[CH4]]*25</f>
        <v>12927.620920000001</v>
      </c>
      <c r="I5" s="13">
        <f>IFERROR(Todo_Gases_Chile[[#This Row],[CH4]]-G4,"")</f>
        <v>1.0084912000000941</v>
      </c>
      <c r="J5" s="13">
        <f>IFERROR(Todo_Gases_Chile[[#This Row],[Variación CH4]]*25,"")</f>
        <v>25.212280000002352</v>
      </c>
      <c r="K5" s="16">
        <f>(Todo_Gases_Chile[[#This Row],[CH4 (CO2eq)]]/Todo_Gases_Chile[[#This Row],[Población]])*1000</f>
        <v>0.94107611365516153</v>
      </c>
      <c r="L5" s="13">
        <v>19.6492757</v>
      </c>
      <c r="M5" s="13">
        <f>Todo_Gases_Chile[[#This Row],[N2O]]*298</f>
        <v>5855.4841586000002</v>
      </c>
      <c r="N5" s="13">
        <f>IFERROR(Todo_Gases_Chile[[#This Row],[N2O]]-L4,"")</f>
        <v>0.49430630000000164</v>
      </c>
      <c r="O5" s="13">
        <f>IFERROR(Todo_Gases_Chile[[#This Row],[Variación N2O]]*298,"")</f>
        <v>147.3032774000005</v>
      </c>
      <c r="P5" s="16">
        <f>(Todo_Gases_Chile[[#This Row],[N2O (CO2eq)]]/Todo_Gases_Chile[[#This Row],[Población]])*1000</f>
        <v>0.42625447556398888</v>
      </c>
      <c r="Q5" s="16">
        <f>+Todo_Gases_Chile[[#This Row],[HFC (CO2eq)]]/7400</f>
        <v>0</v>
      </c>
      <c r="R5" s="13">
        <f>IFERROR(Todo_Gases_Chile[[#This Row],[HFC]]-Q4,"")</f>
        <v>0</v>
      </c>
      <c r="S5" s="13">
        <v>0</v>
      </c>
      <c r="T5" s="13">
        <f>IFERROR(Todo_Gases_Chile[[#This Row],[HFC (CO2eq)]]-S4,"")</f>
        <v>0</v>
      </c>
      <c r="U5" s="17">
        <f>(Todo_Gases_Chile[[#This Row],[HFC (CO2eq)]]/Todo_Gases_Chile[[#This Row],[Población]])*1000</f>
        <v>0</v>
      </c>
      <c r="V5" s="17">
        <f>+Todo_Gases_Chile[[#This Row],[SF6 (CO2eq)]]/22800</f>
        <v>2.1653581973684211E-3</v>
      </c>
      <c r="W5" s="17">
        <f>IFERROR(Todo_Gases_Chile[[#This Row],[SF6]]-V4,"")</f>
        <v>2.4650000000000019E-4</v>
      </c>
      <c r="X5" s="13">
        <v>49.370166900000001</v>
      </c>
      <c r="Y5" s="13">
        <f>IFERROR(Todo_Gases_Chile[[#This Row],[SF6 (CO2eq)]]-X4,"")</f>
        <v>5.6202000000000041</v>
      </c>
      <c r="Z5" s="17">
        <f>(Todo_Gases_Chile[[#This Row],[SF6 (CO2eq)]]/Todo_Gases_Chile[[#This Row],[Población]])*1000</f>
        <v>3.5939392935694691E-3</v>
      </c>
      <c r="AA5" s="13">
        <f>+Todo_Gases_Chile[[#This Row],[CO2 (CO2eq)]]+Todo_Gases_Chile[[#This Row],[CH4 (CO2eq)]]+Todo_Gases_Chile[[#This Row],[N2O (CO2eq)]]+Todo_Gases_Chile[[#This Row],[HFC (CO2eq)]]+Todo_Gases_Chile[[#This Row],[SF6 (CO2eq)]]</f>
        <v>3258.0774741350015</v>
      </c>
      <c r="AB5" s="13">
        <f>IFERROR(Todo_Gases_Chile[[#This Row],[CO2eq]]-AA4,"")</f>
        <v>-1205.383446568997</v>
      </c>
      <c r="AC5" s="16">
        <f>(Todo_Gases_Chile[[#This Row],[CO2eq]]/Todo_Gases_Chile[[#This Row],[Población]])*1000</f>
        <v>0.23717425706712261</v>
      </c>
      <c r="AD5" s="13">
        <v>13737062</v>
      </c>
      <c r="AE5" s="22"/>
      <c r="AF5" s="22"/>
      <c r="AG5" s="5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60" x14ac:dyDescent="0.25">
      <c r="A6" s="2">
        <v>1993</v>
      </c>
      <c r="B6" s="13">
        <v>-13240.896453304</v>
      </c>
      <c r="C6" s="13">
        <v>-13240.896453304</v>
      </c>
      <c r="D6" s="13">
        <f>IFERROR(Todo_Gases_Chile[[#This Row],[CO2]]-B5,"")</f>
        <v>2333.5013180610003</v>
      </c>
      <c r="E6" s="13">
        <f>IFERROR(Todo_Gases_Chile[[#This Row],[CO2 (CO2eq)]]-C5,"")</f>
        <v>2333.5013180610003</v>
      </c>
      <c r="F6" s="16">
        <f>(Todo_Gases_Chile[[#This Row],[CO2]]/Todo_Gases_Chile[[#This Row],[Población]])*1000</f>
        <v>-0.94870806412488395</v>
      </c>
      <c r="G6" s="13">
        <v>528.87972620000005</v>
      </c>
      <c r="H6" s="13">
        <f>Todo_Gases_Chile[[#This Row],[CH4]]*25</f>
        <v>13221.993155000002</v>
      </c>
      <c r="I6" s="13">
        <f>IFERROR(Todo_Gases_Chile[[#This Row],[CH4]]-G5,"")</f>
        <v>11.774889400000006</v>
      </c>
      <c r="J6" s="13">
        <f>IFERROR(Todo_Gases_Chile[[#This Row],[Variación CH4]]*25,"")</f>
        <v>294.37223500000016</v>
      </c>
      <c r="K6" s="16">
        <f>(Todo_Gases_Chile[[#This Row],[CH4 (CO2eq)]]/Todo_Gases_Chile[[#This Row],[Población]])*1000</f>
        <v>0.94735364589475834</v>
      </c>
      <c r="L6" s="13">
        <v>20.563043799999999</v>
      </c>
      <c r="M6" s="13">
        <f>Todo_Gases_Chile[[#This Row],[N2O]]*298</f>
        <v>6127.7870524</v>
      </c>
      <c r="N6" s="13">
        <f>IFERROR(Todo_Gases_Chile[[#This Row],[N2O]]-L5,"")</f>
        <v>0.91376809999999864</v>
      </c>
      <c r="O6" s="13">
        <f>IFERROR(Todo_Gases_Chile[[#This Row],[Variación N2O]]*298,"")</f>
        <v>272.30289379999959</v>
      </c>
      <c r="P6" s="16">
        <f>(Todo_Gases_Chile[[#This Row],[N2O (CO2eq)]]/Todo_Gases_Chile[[#This Row],[Población]])*1000</f>
        <v>0.43905493954688357</v>
      </c>
      <c r="Q6" s="16">
        <f>+Todo_Gases_Chile[[#This Row],[HFC (CO2eq)]]/7400</f>
        <v>0</v>
      </c>
      <c r="R6" s="13">
        <f>IFERROR(Todo_Gases_Chile[[#This Row],[HFC]]-Q5,"")</f>
        <v>0</v>
      </c>
      <c r="S6" s="13">
        <v>0</v>
      </c>
      <c r="T6" s="13">
        <f>IFERROR(Todo_Gases_Chile[[#This Row],[HFC (CO2eq)]]-S5,"")</f>
        <v>0</v>
      </c>
      <c r="U6" s="17">
        <f>(Todo_Gases_Chile[[#This Row],[HFC (CO2eq)]]/Todo_Gases_Chile[[#This Row],[Población]])*1000</f>
        <v>0</v>
      </c>
      <c r="V6" s="17">
        <f>+Todo_Gases_Chile[[#This Row],[SF6 (CO2eq)]]/22800</f>
        <v>2.0434574824561404E-3</v>
      </c>
      <c r="W6" s="17">
        <f>IFERROR(Todo_Gases_Chile[[#This Row],[SF6]]-V5,"")</f>
        <v>-1.2190071491228072E-4</v>
      </c>
      <c r="X6" s="13">
        <v>46.590830599999997</v>
      </c>
      <c r="Y6" s="13">
        <f>IFERROR(Todo_Gases_Chile[[#This Row],[SF6 (CO2eq)]]-X5,"")</f>
        <v>-2.7793363000000042</v>
      </c>
      <c r="Z6" s="17">
        <f>(Todo_Gases_Chile[[#This Row],[SF6 (CO2eq)]]/Todo_Gases_Chile[[#This Row],[Población]])*1000</f>
        <v>3.3382253883170354E-3</v>
      </c>
      <c r="AA6" s="13">
        <f>+Todo_Gases_Chile[[#This Row],[CO2 (CO2eq)]]+Todo_Gases_Chile[[#This Row],[CH4 (CO2eq)]]+Todo_Gases_Chile[[#This Row],[N2O (CO2eq)]]+Todo_Gases_Chile[[#This Row],[HFC (CO2eq)]]+Todo_Gases_Chile[[#This Row],[SF6 (CO2eq)]]</f>
        <v>6155.4745846960022</v>
      </c>
      <c r="AB6" s="13">
        <f>IFERROR(Todo_Gases_Chile[[#This Row],[CO2eq]]-AA5,"")</f>
        <v>2897.3971105610008</v>
      </c>
      <c r="AC6" s="16">
        <f>(Todo_Gases_Chile[[#This Row],[CO2eq]]/Todo_Gases_Chile[[#This Row],[Población]])*1000</f>
        <v>0.44103874670507498</v>
      </c>
      <c r="AD6" s="13">
        <v>13956766</v>
      </c>
      <c r="AE6" s="22"/>
      <c r="AF6" s="22"/>
      <c r="AG6" s="5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60" x14ac:dyDescent="0.25">
      <c r="A7" s="2">
        <v>1994</v>
      </c>
      <c r="B7" s="13">
        <v>-7622.3392398652004</v>
      </c>
      <c r="C7" s="13">
        <v>-7622.3392398652004</v>
      </c>
      <c r="D7" s="13">
        <f>IFERROR(Todo_Gases_Chile[[#This Row],[CO2]]-B6,"")</f>
        <v>5618.5572134387994</v>
      </c>
      <c r="E7" s="13">
        <f>IFERROR(Todo_Gases_Chile[[#This Row],[CO2 (CO2eq)]]-C6,"")</f>
        <v>5618.5572134387994</v>
      </c>
      <c r="F7" s="16">
        <f>(Todo_Gases_Chile[[#This Row],[CO2]]/Todo_Gases_Chile[[#This Row],[Población]])*1000</f>
        <v>-0.53785178629233321</v>
      </c>
      <c r="G7" s="13">
        <v>547.85909470000001</v>
      </c>
      <c r="H7" s="13">
        <f>Todo_Gases_Chile[[#This Row],[CH4]]*25</f>
        <v>13696.4773675</v>
      </c>
      <c r="I7" s="13">
        <f>IFERROR(Todo_Gases_Chile[[#This Row],[CH4]]-G6,"")</f>
        <v>18.979368499999964</v>
      </c>
      <c r="J7" s="13">
        <f>IFERROR(Todo_Gases_Chile[[#This Row],[Variación CH4]]*25,"")</f>
        <v>474.4842124999991</v>
      </c>
      <c r="K7" s="16">
        <f>(Todo_Gases_Chile[[#This Row],[CH4 (CO2eq)]]/Todo_Gases_Chile[[#This Row],[Población]])*1000</f>
        <v>0.96645853539217019</v>
      </c>
      <c r="L7" s="13">
        <v>21.297485399999999</v>
      </c>
      <c r="M7" s="13">
        <f>Todo_Gases_Chile[[#This Row],[N2O]]*298</f>
        <v>6346.6506491999999</v>
      </c>
      <c r="N7" s="13">
        <f>IFERROR(Todo_Gases_Chile[[#This Row],[N2O]]-L6,"")</f>
        <v>0.73444160000000025</v>
      </c>
      <c r="O7" s="13">
        <f>IFERROR(Todo_Gases_Chile[[#This Row],[Variación N2O]]*298,"")</f>
        <v>218.86359680000007</v>
      </c>
      <c r="P7" s="16">
        <f>(Todo_Gases_Chile[[#This Row],[N2O (CO2eq)]]/Todo_Gases_Chile[[#This Row],[Población]])*1000</f>
        <v>0.44783593083768136</v>
      </c>
      <c r="Q7" s="16">
        <f>+Todo_Gases_Chile[[#This Row],[HFC (CO2eq)]]/7400</f>
        <v>0</v>
      </c>
      <c r="R7" s="13">
        <f>IFERROR(Todo_Gases_Chile[[#This Row],[HFC]]-Q6,"")</f>
        <v>0</v>
      </c>
      <c r="S7" s="13">
        <v>0</v>
      </c>
      <c r="T7" s="13">
        <f>IFERROR(Todo_Gases_Chile[[#This Row],[HFC (CO2eq)]]-S6,"")</f>
        <v>0</v>
      </c>
      <c r="U7" s="17">
        <f>(Todo_Gases_Chile[[#This Row],[HFC (CO2eq)]]/Todo_Gases_Chile[[#This Row],[Población]])*1000</f>
        <v>0</v>
      </c>
      <c r="V7" s="17">
        <f>+Todo_Gases_Chile[[#This Row],[SF6 (CO2eq)]]/22800</f>
        <v>3.0633294824561406E-3</v>
      </c>
      <c r="W7" s="17">
        <f>IFERROR(Todo_Gases_Chile[[#This Row],[SF6]]-V6,"")</f>
        <v>1.0198720000000002E-3</v>
      </c>
      <c r="X7" s="13">
        <v>69.843912200000005</v>
      </c>
      <c r="Y7" s="13">
        <f>IFERROR(Todo_Gases_Chile[[#This Row],[SF6 (CO2eq)]]-X6,"")</f>
        <v>23.253081600000009</v>
      </c>
      <c r="Z7" s="17">
        <f>(Todo_Gases_Chile[[#This Row],[SF6 (CO2eq)]]/Todo_Gases_Chile[[#This Row],[Población]])*1000</f>
        <v>4.9283653949622995E-3</v>
      </c>
      <c r="AA7" s="13">
        <f>+Todo_Gases_Chile[[#This Row],[CO2 (CO2eq)]]+Todo_Gases_Chile[[#This Row],[CH4 (CO2eq)]]+Todo_Gases_Chile[[#This Row],[N2O (CO2eq)]]+Todo_Gases_Chile[[#This Row],[HFC (CO2eq)]]+Todo_Gases_Chile[[#This Row],[SF6 (CO2eq)]]</f>
        <v>12490.632689034799</v>
      </c>
      <c r="AB7" s="13">
        <f>IFERROR(Todo_Gases_Chile[[#This Row],[CO2eq]]-AA6,"")</f>
        <v>6335.1581043387969</v>
      </c>
      <c r="AC7" s="16">
        <f>(Todo_Gases_Chile[[#This Row],[CO2eq]]/Todo_Gases_Chile[[#This Row],[Población]])*1000</f>
        <v>0.88137104533248056</v>
      </c>
      <c r="AD7" s="13">
        <v>14171821</v>
      </c>
      <c r="AE7" s="22"/>
      <c r="AF7" s="22"/>
      <c r="AG7" s="5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60" x14ac:dyDescent="0.25">
      <c r="A8" s="2">
        <v>1995</v>
      </c>
      <c r="B8" s="13">
        <v>-10685.016595904</v>
      </c>
      <c r="C8" s="13">
        <v>-10685.016595904</v>
      </c>
      <c r="D8" s="13">
        <f>IFERROR(Todo_Gases_Chile[[#This Row],[CO2]]-B7,"")</f>
        <v>-3062.6773560388001</v>
      </c>
      <c r="E8" s="13">
        <f>IFERROR(Todo_Gases_Chile[[#This Row],[CO2 (CO2eq)]]-C7,"")</f>
        <v>-3062.6773560388001</v>
      </c>
      <c r="F8" s="16">
        <f>(Todo_Gases_Chile[[#This Row],[CO2]]/Todo_Gases_Chile[[#This Row],[Población]])*1000</f>
        <v>-0.74298251813204819</v>
      </c>
      <c r="G8" s="13">
        <v>543.25314900000001</v>
      </c>
      <c r="H8" s="13">
        <f>Todo_Gases_Chile[[#This Row],[CH4]]*25</f>
        <v>13581.328724999999</v>
      </c>
      <c r="I8" s="13">
        <f>IFERROR(Todo_Gases_Chile[[#This Row],[CH4]]-G7,"")</f>
        <v>-4.6059457000000066</v>
      </c>
      <c r="J8" s="13">
        <f>IFERROR(Todo_Gases_Chile[[#This Row],[Variación CH4]]*25,"")</f>
        <v>-115.14864250000016</v>
      </c>
      <c r="K8" s="16">
        <f>(Todo_Gases_Chile[[#This Row],[CH4 (CO2eq)]]/Todo_Gases_Chile[[#This Row],[Población]])*1000</f>
        <v>0.94437755197757844</v>
      </c>
      <c r="L8" s="13">
        <v>21.4717597</v>
      </c>
      <c r="M8" s="13">
        <f>Todo_Gases_Chile[[#This Row],[N2O]]*298</f>
        <v>6398.5843906</v>
      </c>
      <c r="N8" s="13">
        <f>IFERROR(Todo_Gases_Chile[[#This Row],[N2O]]-L7,"")</f>
        <v>0.17427430000000044</v>
      </c>
      <c r="O8" s="13">
        <f>IFERROR(Todo_Gases_Chile[[#This Row],[Variación N2O]]*298,"")</f>
        <v>51.93374140000013</v>
      </c>
      <c r="P8" s="16">
        <f>(Todo_Gases_Chile[[#This Row],[N2O (CO2eq)]]/Todo_Gases_Chile[[#This Row],[Población]])*1000</f>
        <v>0.44492549921081265</v>
      </c>
      <c r="Q8" s="16">
        <f>+Todo_Gases_Chile[[#This Row],[HFC (CO2eq)]]/7400</f>
        <v>0</v>
      </c>
      <c r="R8" s="13">
        <f>IFERROR(Todo_Gases_Chile[[#This Row],[HFC]]-Q7,"")</f>
        <v>0</v>
      </c>
      <c r="S8" s="13">
        <v>0</v>
      </c>
      <c r="T8" s="13">
        <f>IFERROR(Todo_Gases_Chile[[#This Row],[HFC (CO2eq)]]-S7,"")</f>
        <v>0</v>
      </c>
      <c r="U8" s="17">
        <f>(Todo_Gases_Chile[[#This Row],[HFC (CO2eq)]]/Todo_Gases_Chile[[#This Row],[Población]])*1000</f>
        <v>0</v>
      </c>
      <c r="V8" s="17">
        <f>+Todo_Gases_Chile[[#This Row],[SF6 (CO2eq)]]/22800</f>
        <v>3.3542755570175435E-3</v>
      </c>
      <c r="W8" s="17">
        <f>IFERROR(Todo_Gases_Chile[[#This Row],[SF6]]-V7,"")</f>
        <v>2.9094607456140288E-4</v>
      </c>
      <c r="X8" s="13">
        <v>76.477482699999996</v>
      </c>
      <c r="Y8" s="13">
        <f>IFERROR(Todo_Gases_Chile[[#This Row],[SF6 (CO2eq)]]-X7,"")</f>
        <v>6.6335704999999905</v>
      </c>
      <c r="Z8" s="17">
        <f>(Todo_Gases_Chile[[#This Row],[SF6 (CO2eq)]]/Todo_Gases_Chile[[#This Row],[Población]])*1000</f>
        <v>5.3178609660398755E-3</v>
      </c>
      <c r="AA8" s="13">
        <f>+Todo_Gases_Chile[[#This Row],[CO2 (CO2eq)]]+Todo_Gases_Chile[[#This Row],[CH4 (CO2eq)]]+Todo_Gases_Chile[[#This Row],[N2O (CO2eq)]]+Todo_Gases_Chile[[#This Row],[HFC (CO2eq)]]+Todo_Gases_Chile[[#This Row],[SF6 (CO2eq)]]</f>
        <v>9371.3740023959981</v>
      </c>
      <c r="AB8" s="13">
        <f>IFERROR(Todo_Gases_Chile[[#This Row],[CO2eq]]-AA7,"")</f>
        <v>-3119.258686638801</v>
      </c>
      <c r="AC8" s="16">
        <f>(Todo_Gases_Chile[[#This Row],[CO2eq]]/Todo_Gases_Chile[[#This Row],[Población]])*1000</f>
        <v>0.65163839402238266</v>
      </c>
      <c r="AD8" s="13">
        <v>14381249</v>
      </c>
      <c r="AE8" s="22"/>
      <c r="AF8" s="22"/>
      <c r="AG8" s="5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60" x14ac:dyDescent="0.25">
      <c r="A9" s="2">
        <v>1996</v>
      </c>
      <c r="B9" s="13">
        <v>-4058.9917269130001</v>
      </c>
      <c r="C9" s="13">
        <v>-4058.9917269130001</v>
      </c>
      <c r="D9" s="13">
        <f>IFERROR(Todo_Gases_Chile[[#This Row],[CO2]]-B8,"")</f>
        <v>6626.0248689910004</v>
      </c>
      <c r="E9" s="13">
        <f>IFERROR(Todo_Gases_Chile[[#This Row],[CO2 (CO2eq)]]-C8,"")</f>
        <v>6626.0248689910004</v>
      </c>
      <c r="F9" s="16">
        <f>(Todo_Gases_Chile[[#This Row],[CO2]]/Todo_Gases_Chile[[#This Row],[Población]])*1000</f>
        <v>-0.27830006697405213</v>
      </c>
      <c r="G9" s="13">
        <v>554.76633949999996</v>
      </c>
      <c r="H9" s="13">
        <f>Todo_Gases_Chile[[#This Row],[CH4]]*25</f>
        <v>13869.158487499999</v>
      </c>
      <c r="I9" s="13">
        <f>IFERROR(Todo_Gases_Chile[[#This Row],[CH4]]-G8,"")</f>
        <v>11.513190499999951</v>
      </c>
      <c r="J9" s="13">
        <f>IFERROR(Todo_Gases_Chile[[#This Row],[Variación CH4]]*25,"")</f>
        <v>287.82976249999876</v>
      </c>
      <c r="K9" s="16">
        <f>(Todo_Gases_Chile[[#This Row],[CH4 (CO2eq)]]/Todo_Gases_Chile[[#This Row],[Población]])*1000</f>
        <v>0.95092278960629739</v>
      </c>
      <c r="L9" s="13">
        <v>22.0224327</v>
      </c>
      <c r="M9" s="13">
        <f>Todo_Gases_Chile[[#This Row],[N2O]]*298</f>
        <v>6562.6849445999997</v>
      </c>
      <c r="N9" s="13">
        <f>IFERROR(Todo_Gases_Chile[[#This Row],[N2O]]-L8,"")</f>
        <v>0.55067299999999975</v>
      </c>
      <c r="O9" s="13">
        <f>IFERROR(Todo_Gases_Chile[[#This Row],[Variación N2O]]*298,"")</f>
        <v>164.10055399999993</v>
      </c>
      <c r="P9" s="16">
        <f>(Todo_Gases_Chile[[#This Row],[N2O (CO2eq)]]/Todo_Gases_Chile[[#This Row],[Población]])*1000</f>
        <v>0.44996289287852742</v>
      </c>
      <c r="Q9" s="16">
        <f>+Todo_Gases_Chile[[#This Row],[HFC (CO2eq)]]/7400</f>
        <v>0</v>
      </c>
      <c r="R9" s="13">
        <f>IFERROR(Todo_Gases_Chile[[#This Row],[HFC]]-Q8,"")</f>
        <v>0</v>
      </c>
      <c r="S9" s="13">
        <v>0</v>
      </c>
      <c r="T9" s="13">
        <f>IFERROR(Todo_Gases_Chile[[#This Row],[HFC (CO2eq)]]-S8,"")</f>
        <v>0</v>
      </c>
      <c r="U9" s="17">
        <f>(Todo_Gases_Chile[[#This Row],[HFC (CO2eq)]]/Todo_Gases_Chile[[#This Row],[Población]])*1000</f>
        <v>0</v>
      </c>
      <c r="V9" s="17">
        <f>+Todo_Gases_Chile[[#This Row],[SF6 (CO2eq)]]/22800</f>
        <v>3.2786175263157897E-3</v>
      </c>
      <c r="W9" s="17">
        <f>IFERROR(Todo_Gases_Chile[[#This Row],[SF6]]-V8,"")</f>
        <v>-7.5658030701753788E-5</v>
      </c>
      <c r="X9" s="13">
        <v>74.752479600000001</v>
      </c>
      <c r="Y9" s="13">
        <f>IFERROR(Todo_Gases_Chile[[#This Row],[SF6 (CO2eq)]]-X8,"")</f>
        <v>-1.725003099999995</v>
      </c>
      <c r="Z9" s="17">
        <f>(Todo_Gases_Chile[[#This Row],[SF6 (CO2eq)]]/Todo_Gases_Chile[[#This Row],[Población]])*1000</f>
        <v>5.1253171917594216E-3</v>
      </c>
      <c r="AA9" s="13">
        <f>+Todo_Gases_Chile[[#This Row],[CO2 (CO2eq)]]+Todo_Gases_Chile[[#This Row],[CH4 (CO2eq)]]+Todo_Gases_Chile[[#This Row],[N2O (CO2eq)]]+Todo_Gases_Chile[[#This Row],[HFC (CO2eq)]]+Todo_Gases_Chile[[#This Row],[SF6 (CO2eq)]]</f>
        <v>16447.604184787</v>
      </c>
      <c r="AB9" s="13">
        <f>IFERROR(Todo_Gases_Chile[[#This Row],[CO2eq]]-AA8,"")</f>
        <v>7076.230182391002</v>
      </c>
      <c r="AC9" s="16">
        <f>(Todo_Gases_Chile[[#This Row],[CO2eq]]/Todo_Gases_Chile[[#This Row],[Población]])*1000</f>
        <v>1.1277109327025323</v>
      </c>
      <c r="AD9" s="13">
        <v>14584947</v>
      </c>
      <c r="AE9" s="22"/>
      <c r="AF9" s="22"/>
      <c r="AG9" s="5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60" x14ac:dyDescent="0.25">
      <c r="A10" s="2">
        <v>1997</v>
      </c>
      <c r="B10" s="13">
        <v>-263.85271006089999</v>
      </c>
      <c r="C10" s="13">
        <v>-263.85271006089999</v>
      </c>
      <c r="D10" s="13">
        <f>IFERROR(Todo_Gases_Chile[[#This Row],[CO2]]-B9,"")</f>
        <v>3795.1390168521002</v>
      </c>
      <c r="E10" s="13">
        <f>IFERROR(Todo_Gases_Chile[[#This Row],[CO2 (CO2eq)]]-C9,"")</f>
        <v>3795.1390168521002</v>
      </c>
      <c r="F10" s="16">
        <f>(Todo_Gases_Chile[[#This Row],[CO2]]/Todo_Gases_Chile[[#This Row],[Población]])*1000</f>
        <v>-1.7848742311515901E-2</v>
      </c>
      <c r="G10" s="13">
        <v>573.52159349999999</v>
      </c>
      <c r="H10" s="13">
        <f>Todo_Gases_Chile[[#This Row],[CH4]]*25</f>
        <v>14338.0398375</v>
      </c>
      <c r="I10" s="13">
        <f>IFERROR(Todo_Gases_Chile[[#This Row],[CH4]]-G9,"")</f>
        <v>18.755254000000036</v>
      </c>
      <c r="J10" s="13">
        <f>IFERROR(Todo_Gases_Chile[[#This Row],[Variación CH4]]*25,"")</f>
        <v>468.88135000000091</v>
      </c>
      <c r="K10" s="16">
        <f>(Todo_Gases_Chile[[#This Row],[CH4 (CO2eq)]]/Todo_Gases_Chile[[#This Row],[Población]])*1000</f>
        <v>0.96991983994675945</v>
      </c>
      <c r="L10" s="13">
        <v>22.394658499999998</v>
      </c>
      <c r="M10" s="13">
        <f>Todo_Gases_Chile[[#This Row],[N2O]]*298</f>
        <v>6673.6082329999999</v>
      </c>
      <c r="N10" s="13">
        <f>IFERROR(Todo_Gases_Chile[[#This Row],[N2O]]-L9,"")</f>
        <v>0.37222579999999894</v>
      </c>
      <c r="O10" s="13">
        <f>IFERROR(Todo_Gases_Chile[[#This Row],[Variación N2O]]*298,"")</f>
        <v>110.92328839999968</v>
      </c>
      <c r="P10" s="16">
        <f>(Todo_Gases_Chile[[#This Row],[N2O (CO2eq)]]/Todo_Gases_Chile[[#This Row],[Población]])*1000</f>
        <v>0.45144699711947189</v>
      </c>
      <c r="Q10" s="16">
        <f>+Todo_Gases_Chile[[#This Row],[HFC (CO2eq)]]/7400</f>
        <v>0</v>
      </c>
      <c r="R10" s="13">
        <f>IFERROR(Todo_Gases_Chile[[#This Row],[HFC]]-Q9,"")</f>
        <v>0</v>
      </c>
      <c r="S10" s="13">
        <v>0</v>
      </c>
      <c r="T10" s="13">
        <f>IFERROR(Todo_Gases_Chile[[#This Row],[HFC (CO2eq)]]-S9,"")</f>
        <v>0</v>
      </c>
      <c r="U10" s="17">
        <f>(Todo_Gases_Chile[[#This Row],[HFC (CO2eq)]]/Todo_Gases_Chile[[#This Row],[Población]])*1000</f>
        <v>0</v>
      </c>
      <c r="V10" s="17">
        <f>+Todo_Gases_Chile[[#This Row],[SF6 (CO2eq)]]/22800</f>
        <v>4.3422441096491226E-3</v>
      </c>
      <c r="W10" s="17">
        <f>IFERROR(Todo_Gases_Chile[[#This Row],[SF6]]-V9,"")</f>
        <v>1.0636265833333328E-3</v>
      </c>
      <c r="X10" s="13">
        <v>99.003165699999997</v>
      </c>
      <c r="Y10" s="13">
        <f>IFERROR(Todo_Gases_Chile[[#This Row],[SF6 (CO2eq)]]-X9,"")</f>
        <v>24.250686099999996</v>
      </c>
      <c r="Z10" s="17">
        <f>(Todo_Gases_Chile[[#This Row],[SF6 (CO2eq)]]/Todo_Gases_Chile[[#This Row],[Población]])*1000</f>
        <v>6.6972288902992453E-3</v>
      </c>
      <c r="AA10" s="13">
        <f>+Todo_Gases_Chile[[#This Row],[CO2 (CO2eq)]]+Todo_Gases_Chile[[#This Row],[CH4 (CO2eq)]]+Todo_Gases_Chile[[#This Row],[N2O (CO2eq)]]+Todo_Gases_Chile[[#This Row],[HFC (CO2eq)]]+Todo_Gases_Chile[[#This Row],[SF6 (CO2eq)]]</f>
        <v>20846.7985261391</v>
      </c>
      <c r="AB10" s="13">
        <f>IFERROR(Todo_Gases_Chile[[#This Row],[CO2eq]]-AA9,"")</f>
        <v>4399.1943413521003</v>
      </c>
      <c r="AC10" s="16">
        <f>(Todo_Gases_Chile[[#This Row],[CO2eq]]/Todo_Gases_Chile[[#This Row],[Población]])*1000</f>
        <v>1.4102153236450148</v>
      </c>
      <c r="AD10" s="13">
        <v>14782706</v>
      </c>
      <c r="AE10" s="22"/>
      <c r="AF10" s="22"/>
      <c r="AG10" s="5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60" x14ac:dyDescent="0.25">
      <c r="A11" s="2">
        <v>1998</v>
      </c>
      <c r="B11" s="13">
        <v>17431.017596504</v>
      </c>
      <c r="C11" s="13">
        <v>17431.017596504</v>
      </c>
      <c r="D11" s="13">
        <f>IFERROR(Todo_Gases_Chile[[#This Row],[CO2]]-B10,"")</f>
        <v>17694.870306564899</v>
      </c>
      <c r="E11" s="13">
        <f>IFERROR(Todo_Gases_Chile[[#This Row],[CO2 (CO2eq)]]-C10,"")</f>
        <v>17694.870306564899</v>
      </c>
      <c r="F11" s="16">
        <f>(Todo_Gases_Chile[[#This Row],[CO2]]/Todo_Gases_Chile[[#This Row],[Población]])*1000</f>
        <v>1.164015781376541</v>
      </c>
      <c r="G11" s="13">
        <v>599.71567900000002</v>
      </c>
      <c r="H11" s="13">
        <f>Todo_Gases_Chile[[#This Row],[CH4]]*25</f>
        <v>14992.891975</v>
      </c>
      <c r="I11" s="13">
        <f>IFERROR(Todo_Gases_Chile[[#This Row],[CH4]]-G10,"")</f>
        <v>26.194085500000028</v>
      </c>
      <c r="J11" s="13">
        <f>IFERROR(Todo_Gases_Chile[[#This Row],[Variación CH4]]*25,"")</f>
        <v>654.85213750000071</v>
      </c>
      <c r="K11" s="16">
        <f>(Todo_Gases_Chile[[#This Row],[CH4 (CO2eq)]]/Todo_Gases_Chile[[#This Row],[Población]])*1000</f>
        <v>1.0012016091862528</v>
      </c>
      <c r="L11" s="13">
        <v>23.937944600000002</v>
      </c>
      <c r="M11" s="13">
        <f>Todo_Gases_Chile[[#This Row],[N2O]]*298</f>
        <v>7133.5074908000006</v>
      </c>
      <c r="N11" s="13">
        <f>IFERROR(Todo_Gases_Chile[[#This Row],[N2O]]-L10,"")</f>
        <v>1.5432861000000031</v>
      </c>
      <c r="O11" s="13">
        <f>IFERROR(Todo_Gases_Chile[[#This Row],[Variación N2O]]*298,"")</f>
        <v>459.8992578000009</v>
      </c>
      <c r="P11" s="16">
        <f>(Todo_Gases_Chile[[#This Row],[N2O (CO2eq)]]/Todo_Gases_Chile[[#This Row],[Población]])*1000</f>
        <v>0.4763643459073979</v>
      </c>
      <c r="Q11" s="16">
        <f>+Todo_Gases_Chile[[#This Row],[HFC (CO2eq)]]/7400</f>
        <v>0</v>
      </c>
      <c r="R11" s="13">
        <f>IFERROR(Todo_Gases_Chile[[#This Row],[HFC]]-Q10,"")</f>
        <v>0</v>
      </c>
      <c r="S11" s="13">
        <v>0</v>
      </c>
      <c r="T11" s="13">
        <f>IFERROR(Todo_Gases_Chile[[#This Row],[HFC (CO2eq)]]-S10,"")</f>
        <v>0</v>
      </c>
      <c r="U11" s="17">
        <f>(Todo_Gases_Chile[[#This Row],[HFC (CO2eq)]]/Todo_Gases_Chile[[#This Row],[Población]])*1000</f>
        <v>0</v>
      </c>
      <c r="V11" s="17">
        <f>+Todo_Gases_Chile[[#This Row],[SF6 (CO2eq)]]/22800</f>
        <v>5.3666071359649127E-3</v>
      </c>
      <c r="W11" s="17">
        <f>IFERROR(Todo_Gases_Chile[[#This Row],[SF6]]-V10,"")</f>
        <v>1.0243630263157902E-3</v>
      </c>
      <c r="X11" s="13">
        <v>122.3586427</v>
      </c>
      <c r="Y11" s="13">
        <f>IFERROR(Todo_Gases_Chile[[#This Row],[SF6 (CO2eq)]]-X10,"")</f>
        <v>23.355477000000008</v>
      </c>
      <c r="Z11" s="17">
        <f>(Todo_Gases_Chile[[#This Row],[SF6 (CO2eq)]]/Todo_Gases_Chile[[#This Row],[Población]])*1000</f>
        <v>8.1709166032382999E-3</v>
      </c>
      <c r="AA11" s="13">
        <f>+Todo_Gases_Chile[[#This Row],[CO2 (CO2eq)]]+Todo_Gases_Chile[[#This Row],[CH4 (CO2eq)]]+Todo_Gases_Chile[[#This Row],[N2O (CO2eq)]]+Todo_Gases_Chile[[#This Row],[HFC (CO2eq)]]+Todo_Gases_Chile[[#This Row],[SF6 (CO2eq)]]</f>
        <v>39679.775705004002</v>
      </c>
      <c r="AB11" s="13">
        <f>IFERROR(Todo_Gases_Chile[[#This Row],[CO2eq]]-AA10,"")</f>
        <v>18832.977178864901</v>
      </c>
      <c r="AC11" s="16">
        <f>(Todo_Gases_Chile[[#This Row],[CO2eq]]/Todo_Gases_Chile[[#This Row],[Población]])*1000</f>
        <v>2.6497526530734299</v>
      </c>
      <c r="AD11" s="13">
        <v>14974898</v>
      </c>
      <c r="AE11" s="22"/>
      <c r="AF11" s="22"/>
      <c r="AG11" s="5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60" x14ac:dyDescent="0.25">
      <c r="A12" s="2">
        <v>1999</v>
      </c>
      <c r="B12" s="13">
        <v>8254.8312820216997</v>
      </c>
      <c r="C12" s="13">
        <v>8254.8312820216997</v>
      </c>
      <c r="D12" s="13">
        <f>IFERROR(Todo_Gases_Chile[[#This Row],[CO2]]-B11,"")</f>
        <v>-9176.1863144823001</v>
      </c>
      <c r="E12" s="13">
        <f>IFERROR(Todo_Gases_Chile[[#This Row],[CO2 (CO2eq)]]-C11,"")</f>
        <v>-9176.1863144823001</v>
      </c>
      <c r="F12" s="16">
        <f>(Todo_Gases_Chile[[#This Row],[CO2]]/Todo_Gases_Chile[[#This Row],[Población]])*1000</f>
        <v>0.54442943532720156</v>
      </c>
      <c r="G12" s="13">
        <v>589.57710489999999</v>
      </c>
      <c r="H12" s="13">
        <f>Todo_Gases_Chile[[#This Row],[CH4]]*25</f>
        <v>14739.427622499999</v>
      </c>
      <c r="I12" s="13">
        <f>IFERROR(Todo_Gases_Chile[[#This Row],[CH4]]-G11,"")</f>
        <v>-10.138574100000028</v>
      </c>
      <c r="J12" s="13">
        <f>IFERROR(Todo_Gases_Chile[[#This Row],[Variación CH4]]*25,"")</f>
        <v>-253.4643525000007</v>
      </c>
      <c r="K12" s="16">
        <f>(Todo_Gases_Chile[[#This Row],[CH4 (CO2eq)]]/Todo_Gases_Chile[[#This Row],[Población]])*1000</f>
        <v>0.97210687698010989</v>
      </c>
      <c r="L12" s="13">
        <v>23.2643232</v>
      </c>
      <c r="M12" s="13">
        <f>Todo_Gases_Chile[[#This Row],[N2O]]*298</f>
        <v>6932.7683135999996</v>
      </c>
      <c r="N12" s="13">
        <f>IFERROR(Todo_Gases_Chile[[#This Row],[N2O]]-L11,"")</f>
        <v>-0.67362140000000181</v>
      </c>
      <c r="O12" s="13">
        <f>IFERROR(Todo_Gases_Chile[[#This Row],[Variación N2O]]*298,"")</f>
        <v>-200.73917720000054</v>
      </c>
      <c r="P12" s="16">
        <f>(Todo_Gases_Chile[[#This Row],[N2O (CO2eq)]]/Todo_Gases_Chile[[#This Row],[Población]])*1000</f>
        <v>0.45723564895237562</v>
      </c>
      <c r="Q12" s="16">
        <f>+Todo_Gases_Chile[[#This Row],[HFC (CO2eq)]]/7400</f>
        <v>5.1796220540540547E-3</v>
      </c>
      <c r="R12" s="13">
        <f>IFERROR(Todo_Gases_Chile[[#This Row],[HFC]]-Q11,"")</f>
        <v>5.1796220540540547E-3</v>
      </c>
      <c r="S12" s="13">
        <v>38.329203200000002</v>
      </c>
      <c r="T12" s="13">
        <f>IFERROR(Todo_Gases_Chile[[#This Row],[HFC (CO2eq)]]-S11,"")</f>
        <v>38.329203200000002</v>
      </c>
      <c r="U12" s="17">
        <f>(Todo_Gases_Chile[[#This Row],[HFC (CO2eq)]]/Todo_Gases_Chile[[#This Row],[Población]])*1000</f>
        <v>2.5279191956551861E-3</v>
      </c>
      <c r="V12" s="17">
        <f>+Todo_Gases_Chile[[#This Row],[SF6 (CO2eq)]]/22800</f>
        <v>4.5233375263157892E-3</v>
      </c>
      <c r="W12" s="17">
        <f>IFERROR(Todo_Gases_Chile[[#This Row],[SF6]]-V11,"")</f>
        <v>-8.4326960964912351E-4</v>
      </c>
      <c r="X12" s="13">
        <v>103.1320956</v>
      </c>
      <c r="Y12" s="13">
        <f>IFERROR(Todo_Gases_Chile[[#This Row],[SF6 (CO2eq)]]-X11,"")</f>
        <v>-19.226547100000005</v>
      </c>
      <c r="Z12" s="17">
        <f>(Todo_Gases_Chile[[#This Row],[SF6 (CO2eq)]]/Todo_Gases_Chile[[#This Row],[Población]])*1000</f>
        <v>6.8018529577830037E-3</v>
      </c>
      <c r="AA12" s="13">
        <f>+Todo_Gases_Chile[[#This Row],[CO2 (CO2eq)]]+Todo_Gases_Chile[[#This Row],[CH4 (CO2eq)]]+Todo_Gases_Chile[[#This Row],[N2O (CO2eq)]]+Todo_Gases_Chile[[#This Row],[HFC (CO2eq)]]+Todo_Gases_Chile[[#This Row],[SF6 (CO2eq)]]</f>
        <v>30068.488516921701</v>
      </c>
      <c r="AB12" s="13">
        <f>IFERROR(Todo_Gases_Chile[[#This Row],[CO2eq]]-AA11,"")</f>
        <v>-9611.2871880823004</v>
      </c>
      <c r="AC12" s="16">
        <f>(Todo_Gases_Chile[[#This Row],[CO2eq]]/Todo_Gases_Chile[[#This Row],[Población]])*1000</f>
        <v>1.9831017334131256</v>
      </c>
      <c r="AD12" s="13">
        <v>15162353</v>
      </c>
      <c r="AE12" s="22"/>
      <c r="AF12" s="22"/>
      <c r="AG12" s="5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60" x14ac:dyDescent="0.25">
      <c r="A13" s="2">
        <v>2000</v>
      </c>
      <c r="B13" s="13">
        <v>-7655.8230726868996</v>
      </c>
      <c r="C13" s="13">
        <v>-7655.8230726868996</v>
      </c>
      <c r="D13" s="13">
        <f>IFERROR(Todo_Gases_Chile[[#This Row],[CO2]]-B12,"")</f>
        <v>-15910.6543547086</v>
      </c>
      <c r="E13" s="13">
        <f>IFERROR(Todo_Gases_Chile[[#This Row],[CO2 (CO2eq)]]-C12,"")</f>
        <v>-15910.6543547086</v>
      </c>
      <c r="F13" s="16">
        <f>(Todo_Gases_Chile[[#This Row],[CO2]]/Todo_Gases_Chile[[#This Row],[Población]])*1000</f>
        <v>-0.4989676340505898</v>
      </c>
      <c r="G13" s="13">
        <v>587.26143760000002</v>
      </c>
      <c r="H13" s="13">
        <f>Todo_Gases_Chile[[#This Row],[CH4]]*25</f>
        <v>14681.53594</v>
      </c>
      <c r="I13" s="13">
        <f>IFERROR(Todo_Gases_Chile[[#This Row],[CH4]]-G12,"")</f>
        <v>-2.3156672999999728</v>
      </c>
      <c r="J13" s="13">
        <f>IFERROR(Todo_Gases_Chile[[#This Row],[Variación CH4]]*25,"")</f>
        <v>-57.89168249999932</v>
      </c>
      <c r="K13" s="16">
        <f>(Todo_Gases_Chile[[#This Row],[CH4 (CO2eq)]]/Todo_Gases_Chile[[#This Row],[Población]])*1000</f>
        <v>0.95686788770570341</v>
      </c>
      <c r="L13" s="13">
        <v>22.512169499999999</v>
      </c>
      <c r="M13" s="13">
        <f>Todo_Gases_Chile[[#This Row],[N2O]]*298</f>
        <v>6708.6265109999995</v>
      </c>
      <c r="N13" s="13">
        <f>IFERROR(Todo_Gases_Chile[[#This Row],[N2O]]-L12,"")</f>
        <v>-0.75215370000000092</v>
      </c>
      <c r="O13" s="13">
        <f>IFERROR(Todo_Gases_Chile[[#This Row],[Variación N2O]]*298,"")</f>
        <v>-224.14180260000029</v>
      </c>
      <c r="P13" s="16">
        <f>(Todo_Gases_Chile[[#This Row],[N2O (CO2eq)]]/Todo_Gases_Chile[[#This Row],[Población]])*1000</f>
        <v>0.43723417667069053</v>
      </c>
      <c r="Q13" s="16">
        <f>+Todo_Gases_Chile[[#This Row],[HFC (CO2eq)]]/7400</f>
        <v>1.1062030513513513E-2</v>
      </c>
      <c r="R13" s="13">
        <f>IFERROR(Todo_Gases_Chile[[#This Row],[HFC]]-Q12,"")</f>
        <v>5.8824084594594588E-3</v>
      </c>
      <c r="S13" s="13">
        <v>81.859025799999998</v>
      </c>
      <c r="T13" s="13">
        <f>IFERROR(Todo_Gases_Chile[[#This Row],[HFC (CO2eq)]]-S12,"")</f>
        <v>43.529822599999996</v>
      </c>
      <c r="U13" s="17">
        <f>(Todo_Gases_Chile[[#This Row],[HFC (CO2eq)]]/Todo_Gases_Chile[[#This Row],[Población]])*1000</f>
        <v>5.3351552199308021E-3</v>
      </c>
      <c r="V13" s="17">
        <f>+Todo_Gases_Chile[[#This Row],[SF6 (CO2eq)]]/22800</f>
        <v>4.1266425394736843E-3</v>
      </c>
      <c r="W13" s="17">
        <f>IFERROR(Todo_Gases_Chile[[#This Row],[SF6]]-V12,"")</f>
        <v>-3.9669498684210495E-4</v>
      </c>
      <c r="X13" s="13">
        <v>94.087449899999996</v>
      </c>
      <c r="Y13" s="13">
        <f>IFERROR(Todo_Gases_Chile[[#This Row],[SF6 (CO2eq)]]-X12,"")</f>
        <v>-9.0446457000000038</v>
      </c>
      <c r="Z13" s="17">
        <f>(Todo_Gases_Chile[[#This Row],[SF6 (CO2eq)]]/Todo_Gases_Chile[[#This Row],[Población]])*1000</f>
        <v>6.1321417468415901E-3</v>
      </c>
      <c r="AA13" s="13">
        <f>+Todo_Gases_Chile[[#This Row],[CO2 (CO2eq)]]+Todo_Gases_Chile[[#This Row],[CH4 (CO2eq)]]+Todo_Gases_Chile[[#This Row],[N2O (CO2eq)]]+Todo_Gases_Chile[[#This Row],[HFC (CO2eq)]]+Todo_Gases_Chile[[#This Row],[SF6 (CO2eq)]]</f>
        <v>13910.2858540131</v>
      </c>
      <c r="AB13" s="13">
        <f>IFERROR(Todo_Gases_Chile[[#This Row],[CO2eq]]-AA12,"")</f>
        <v>-16158.202662908601</v>
      </c>
      <c r="AC13" s="16">
        <f>(Todo_Gases_Chile[[#This Row],[CO2eq]]/Todo_Gases_Chile[[#This Row],[Población]])*1000</f>
        <v>0.9066017272925766</v>
      </c>
      <c r="AD13" s="13">
        <v>15343326</v>
      </c>
      <c r="AE13" s="22"/>
      <c r="AF13" s="22"/>
      <c r="AG13" s="5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60" x14ac:dyDescent="0.25">
      <c r="A14" s="2">
        <v>2001</v>
      </c>
      <c r="B14" s="13">
        <v>-11597.767638239</v>
      </c>
      <c r="C14" s="13">
        <v>-11597.767638239</v>
      </c>
      <c r="D14" s="13">
        <f>IFERROR(Todo_Gases_Chile[[#This Row],[CO2]]-B13,"")</f>
        <v>-3941.9445655521004</v>
      </c>
      <c r="E14" s="13">
        <f>IFERROR(Todo_Gases_Chile[[#This Row],[CO2 (CO2eq)]]-C13,"")</f>
        <v>-3941.9445655521004</v>
      </c>
      <c r="F14" s="16">
        <f>(Todo_Gases_Chile[[#This Row],[CO2]]/Todo_Gases_Chile[[#This Row],[Población]])*1000</f>
        <v>-0.74727648335639929</v>
      </c>
      <c r="G14" s="13">
        <v>595.13936590000003</v>
      </c>
      <c r="H14" s="13">
        <f>Todo_Gases_Chile[[#This Row],[CH4]]*25</f>
        <v>14878.484147500001</v>
      </c>
      <c r="I14" s="13">
        <f>IFERROR(Todo_Gases_Chile[[#This Row],[CH4]]-G13,"")</f>
        <v>7.8779283000000078</v>
      </c>
      <c r="J14" s="13">
        <f>IFERROR(Todo_Gases_Chile[[#This Row],[Variación CH4]]*25,"")</f>
        <v>196.94820750000019</v>
      </c>
      <c r="K14" s="16">
        <f>(Todo_Gases_Chile[[#This Row],[CH4 (CO2eq)]]/Todo_Gases_Chile[[#This Row],[Población]])*1000</f>
        <v>0.95866218898535693</v>
      </c>
      <c r="L14" s="13">
        <v>22.9569458</v>
      </c>
      <c r="M14" s="13">
        <f>Todo_Gases_Chile[[#This Row],[N2O]]*298</f>
        <v>6841.1698483999999</v>
      </c>
      <c r="N14" s="13">
        <f>IFERROR(Todo_Gases_Chile[[#This Row],[N2O]]-L13,"")</f>
        <v>0.4447763000000009</v>
      </c>
      <c r="O14" s="13">
        <f>IFERROR(Todo_Gases_Chile[[#This Row],[Variación N2O]]*298,"")</f>
        <v>132.54333740000027</v>
      </c>
      <c r="P14" s="16">
        <f>(Todo_Gases_Chile[[#This Row],[N2O (CO2eq)]]/Todo_Gases_Chile[[#This Row],[Población]])*1000</f>
        <v>0.44079563462718446</v>
      </c>
      <c r="Q14" s="16">
        <f>+Todo_Gases_Chile[[#This Row],[HFC (CO2eq)]]/7400</f>
        <v>2.0993142554054055E-2</v>
      </c>
      <c r="R14" s="13">
        <f>IFERROR(Todo_Gases_Chile[[#This Row],[HFC]]-Q13,"")</f>
        <v>9.931112040540542E-3</v>
      </c>
      <c r="S14" s="13">
        <v>155.34925490000001</v>
      </c>
      <c r="T14" s="13">
        <f>IFERROR(Todo_Gases_Chile[[#This Row],[HFC (CO2eq)]]-S13,"")</f>
        <v>73.490229100000008</v>
      </c>
      <c r="U14" s="17">
        <f>(Todo_Gases_Chile[[#This Row],[HFC (CO2eq)]]/Todo_Gases_Chile[[#This Row],[Población]])*1000</f>
        <v>1.0009585337005057E-2</v>
      </c>
      <c r="V14" s="17">
        <f>+Todo_Gases_Chile[[#This Row],[SF6 (CO2eq)]]/22800</f>
        <v>4.3264525394736842E-3</v>
      </c>
      <c r="W14" s="17">
        <f>IFERROR(Todo_Gases_Chile[[#This Row],[SF6]]-V13,"")</f>
        <v>1.9980999999999992E-4</v>
      </c>
      <c r="X14" s="13">
        <v>98.643117899999993</v>
      </c>
      <c r="Y14" s="13">
        <f>IFERROR(Todo_Gases_Chile[[#This Row],[SF6 (CO2eq)]]-X13,"")</f>
        <v>4.5556679999999972</v>
      </c>
      <c r="Z14" s="17">
        <f>(Todo_Gases_Chile[[#This Row],[SF6 (CO2eq)]]/Todo_Gases_Chile[[#This Row],[Población]])*1000</f>
        <v>6.3558509319139389E-3</v>
      </c>
      <c r="AA14" s="13">
        <f>+Todo_Gases_Chile[[#This Row],[CO2 (CO2eq)]]+Todo_Gases_Chile[[#This Row],[CH4 (CO2eq)]]+Todo_Gases_Chile[[#This Row],[N2O (CO2eq)]]+Todo_Gases_Chile[[#This Row],[HFC (CO2eq)]]+Todo_Gases_Chile[[#This Row],[SF6 (CO2eq)]]</f>
        <v>10375.878730461001</v>
      </c>
      <c r="AB14" s="13">
        <f>IFERROR(Todo_Gases_Chile[[#This Row],[CO2eq]]-AA13,"")</f>
        <v>-3534.4071235520987</v>
      </c>
      <c r="AC14" s="16">
        <f>(Todo_Gases_Chile[[#This Row],[CO2eq]]/Todo_Gases_Chile[[#This Row],[Población]])*1000</f>
        <v>0.66854677652506123</v>
      </c>
      <c r="AD14" s="13">
        <v>15520049</v>
      </c>
      <c r="AE14" s="22"/>
      <c r="AF14" s="22"/>
      <c r="AG14" s="5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60" x14ac:dyDescent="0.25">
      <c r="A15" s="2">
        <v>2002</v>
      </c>
      <c r="B15" s="13">
        <v>-2914.7258413477998</v>
      </c>
      <c r="C15" s="13">
        <v>-2914.7258413477998</v>
      </c>
      <c r="D15" s="13">
        <f>IFERROR(Todo_Gases_Chile[[#This Row],[CO2]]-B14,"")</f>
        <v>8683.0417968912006</v>
      </c>
      <c r="E15" s="13">
        <f>IFERROR(Todo_Gases_Chile[[#This Row],[CO2 (CO2eq)]]-C14,"")</f>
        <v>8683.0417968912006</v>
      </c>
      <c r="F15" s="16">
        <f>(Todo_Gases_Chile[[#This Row],[CO2]]/Todo_Gases_Chile[[#This Row],[Población]])*1000</f>
        <v>-0.18574951443108684</v>
      </c>
      <c r="G15" s="13">
        <v>632.50182859999995</v>
      </c>
      <c r="H15" s="13">
        <f>Todo_Gases_Chile[[#This Row],[CH4]]*25</f>
        <v>15812.545714999998</v>
      </c>
      <c r="I15" s="13">
        <f>IFERROR(Todo_Gases_Chile[[#This Row],[CH4]]-G14,"")</f>
        <v>37.362462699999924</v>
      </c>
      <c r="J15" s="13">
        <f>IFERROR(Todo_Gases_Chile[[#This Row],[Variación CH4]]*25,"")</f>
        <v>934.06156749999809</v>
      </c>
      <c r="K15" s="16">
        <f>(Todo_Gases_Chile[[#This Row],[CH4 (CO2eq)]]/Todo_Gases_Chile[[#This Row],[Población]])*1000</f>
        <v>1.0077011864424386</v>
      </c>
      <c r="L15" s="13">
        <v>24.469562199999999</v>
      </c>
      <c r="M15" s="13">
        <f>Todo_Gases_Chile[[#This Row],[N2O]]*298</f>
        <v>7291.9295355999993</v>
      </c>
      <c r="N15" s="13">
        <f>IFERROR(Todo_Gases_Chile[[#This Row],[N2O]]-L14,"")</f>
        <v>1.5126163999999989</v>
      </c>
      <c r="O15" s="13">
        <f>IFERROR(Todo_Gases_Chile[[#This Row],[Variación N2O]]*298,"")</f>
        <v>450.75968719999969</v>
      </c>
      <c r="P15" s="16">
        <f>(Todo_Gases_Chile[[#This Row],[N2O (CO2eq)]]/Todo_Gases_Chile[[#This Row],[Población]])*1000</f>
        <v>0.4646997502437753</v>
      </c>
      <c r="Q15" s="16">
        <f>+Todo_Gases_Chile[[#This Row],[HFC (CO2eq)]]/7400</f>
        <v>2.5704180837837837E-2</v>
      </c>
      <c r="R15" s="13">
        <f>IFERROR(Todo_Gases_Chile[[#This Row],[HFC]]-Q14,"")</f>
        <v>4.7110382837837819E-3</v>
      </c>
      <c r="S15" s="13">
        <v>190.21093819999999</v>
      </c>
      <c r="T15" s="13">
        <f>IFERROR(Todo_Gases_Chile[[#This Row],[HFC (CO2eq)]]-S14,"")</f>
        <v>34.861683299999982</v>
      </c>
      <c r="U15" s="17">
        <f>(Todo_Gases_Chile[[#This Row],[HFC (CO2eq)]]/Todo_Gases_Chile[[#This Row],[Población]])*1000</f>
        <v>1.2121753925849082E-2</v>
      </c>
      <c r="V15" s="17">
        <f>+Todo_Gases_Chile[[#This Row],[SF6 (CO2eq)]]/22800</f>
        <v>4.2109495350877192E-3</v>
      </c>
      <c r="W15" s="17">
        <f>IFERROR(Todo_Gases_Chile[[#This Row],[SF6]]-V14,"")</f>
        <v>-1.1550300438596499E-4</v>
      </c>
      <c r="X15" s="13">
        <v>96.009649400000001</v>
      </c>
      <c r="Y15" s="13">
        <f>IFERROR(Todo_Gases_Chile[[#This Row],[SF6 (CO2eq)]]-X14,"")</f>
        <v>-2.6334684999999922</v>
      </c>
      <c r="Z15" s="17">
        <f>(Todo_Gases_Chile[[#This Row],[SF6 (CO2eq)]]/Todo_Gases_Chile[[#This Row],[Población]])*1000</f>
        <v>6.1184985235188975E-3</v>
      </c>
      <c r="AA15" s="13">
        <f>+Todo_Gases_Chile[[#This Row],[CO2 (CO2eq)]]+Todo_Gases_Chile[[#This Row],[CH4 (CO2eq)]]+Todo_Gases_Chile[[#This Row],[N2O (CO2eq)]]+Todo_Gases_Chile[[#This Row],[HFC (CO2eq)]]+Todo_Gases_Chile[[#This Row],[SF6 (CO2eq)]]</f>
        <v>20475.9699968522</v>
      </c>
      <c r="AB15" s="13">
        <f>IFERROR(Todo_Gases_Chile[[#This Row],[CO2eq]]-AA14,"")</f>
        <v>10100.091266391199</v>
      </c>
      <c r="AC15" s="16">
        <f>(Todo_Gases_Chile[[#This Row],[CO2eq]]/Todo_Gases_Chile[[#This Row],[Población]])*1000</f>
        <v>1.304891674704495</v>
      </c>
      <c r="AD15" s="13">
        <v>15691701</v>
      </c>
      <c r="AE15" s="22"/>
      <c r="AF15" s="22"/>
      <c r="AG15" s="5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60" x14ac:dyDescent="0.25">
      <c r="A16" s="2">
        <v>2003</v>
      </c>
      <c r="B16" s="13">
        <v>-18445.697745243</v>
      </c>
      <c r="C16" s="13">
        <v>-18445.697745243</v>
      </c>
      <c r="D16" s="13">
        <f>IFERROR(Todo_Gases_Chile[[#This Row],[CO2]]-B15,"")</f>
        <v>-15530.971903895201</v>
      </c>
      <c r="E16" s="13">
        <f>IFERROR(Todo_Gases_Chile[[#This Row],[CO2 (CO2eq)]]-C15,"")</f>
        <v>-15530.971903895201</v>
      </c>
      <c r="F16" s="16">
        <f>(Todo_Gases_Chile[[#This Row],[CO2]]/Todo_Gases_Chile[[#This Row],[Población]])*1000</f>
        <v>-1.1632543671623539</v>
      </c>
      <c r="G16" s="13">
        <v>609.07234340000002</v>
      </c>
      <c r="H16" s="13">
        <f>Todo_Gases_Chile[[#This Row],[CH4]]*25</f>
        <v>15226.808585000001</v>
      </c>
      <c r="I16" s="13">
        <f>IFERROR(Todo_Gases_Chile[[#This Row],[CH4]]-G15,"")</f>
        <v>-23.429485199999931</v>
      </c>
      <c r="J16" s="13">
        <f>IFERROR(Todo_Gases_Chile[[#This Row],[Variación CH4]]*25,"")</f>
        <v>-585.73712999999827</v>
      </c>
      <c r="K16" s="16">
        <f>(Todo_Gases_Chile[[#This Row],[CH4 (CO2eq)]]/Todo_Gases_Chile[[#This Row],[Población]])*1000</f>
        <v>0.96025923383757206</v>
      </c>
      <c r="L16" s="13">
        <v>23.137841099999999</v>
      </c>
      <c r="M16" s="13">
        <f>Todo_Gases_Chile[[#This Row],[N2O]]*298</f>
        <v>6895.0766477999996</v>
      </c>
      <c r="N16" s="13">
        <f>IFERROR(Todo_Gases_Chile[[#This Row],[N2O]]-L15,"")</f>
        <v>-1.3317210999999993</v>
      </c>
      <c r="O16" s="13">
        <f>IFERROR(Todo_Gases_Chile[[#This Row],[Variación N2O]]*298,"")</f>
        <v>-396.85288779999979</v>
      </c>
      <c r="P16" s="16">
        <f>(Todo_Gases_Chile[[#This Row],[N2O (CO2eq)]]/Todo_Gases_Chile[[#This Row],[Población]])*1000</f>
        <v>0.43482920154327015</v>
      </c>
      <c r="Q16" s="16">
        <f>+Todo_Gases_Chile[[#This Row],[HFC (CO2eq)]]/7400</f>
        <v>2.8374379148648647E-2</v>
      </c>
      <c r="R16" s="13">
        <f>IFERROR(Todo_Gases_Chile[[#This Row],[HFC]]-Q15,"")</f>
        <v>2.6701983108108097E-3</v>
      </c>
      <c r="S16" s="13">
        <v>209.97040569999999</v>
      </c>
      <c r="T16" s="13">
        <f>IFERROR(Todo_Gases_Chile[[#This Row],[HFC (CO2eq)]]-S15,"")</f>
        <v>19.7594675</v>
      </c>
      <c r="U16" s="17">
        <f>(Todo_Gases_Chile[[#This Row],[HFC (CO2eq)]]/Todo_Gases_Chile[[#This Row],[Población]])*1000</f>
        <v>1.3241515435129912E-2</v>
      </c>
      <c r="V16" s="17">
        <f>+Todo_Gases_Chile[[#This Row],[SF6 (CO2eq)]]/22800</f>
        <v>5.9848458464912277E-3</v>
      </c>
      <c r="W16" s="17">
        <f>IFERROR(Todo_Gases_Chile[[#This Row],[SF6]]-V15,"")</f>
        <v>1.7738963114035085E-3</v>
      </c>
      <c r="X16" s="13">
        <v>136.45448529999999</v>
      </c>
      <c r="Y16" s="13">
        <f>IFERROR(Todo_Gases_Chile[[#This Row],[SF6 (CO2eq)]]-X15,"")</f>
        <v>40.444835899999987</v>
      </c>
      <c r="Z16" s="17">
        <f>(Todo_Gases_Chile[[#This Row],[SF6 (CO2eq)]]/Todo_Gases_Chile[[#This Row],[Población]])*1000</f>
        <v>8.6053278187891661E-3</v>
      </c>
      <c r="AA16" s="13">
        <f>+Todo_Gases_Chile[[#This Row],[CO2 (CO2eq)]]+Todo_Gases_Chile[[#This Row],[CH4 (CO2eq)]]+Todo_Gases_Chile[[#This Row],[N2O (CO2eq)]]+Todo_Gases_Chile[[#This Row],[HFC (CO2eq)]]+Todo_Gases_Chile[[#This Row],[SF6 (CO2eq)]]</f>
        <v>4022.6123785569998</v>
      </c>
      <c r="AB16" s="13">
        <f>IFERROR(Todo_Gases_Chile[[#This Row],[CO2eq]]-AA15,"")</f>
        <v>-16453.357618295202</v>
      </c>
      <c r="AC16" s="16">
        <f>(Todo_Gases_Chile[[#This Row],[CO2eq]]/Todo_Gases_Chile[[#This Row],[Población]])*1000</f>
        <v>0.25368091147240734</v>
      </c>
      <c r="AD16" s="13">
        <v>15856977</v>
      </c>
      <c r="AE16" s="22"/>
      <c r="AF16" s="22"/>
      <c r="AG16" s="5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x14ac:dyDescent="0.25">
      <c r="A17" s="2">
        <v>2004</v>
      </c>
      <c r="B17" s="13">
        <v>-7530.0596780318001</v>
      </c>
      <c r="C17" s="13">
        <v>-7530.0596780318001</v>
      </c>
      <c r="D17" s="13">
        <f>IFERROR(Todo_Gases_Chile[[#This Row],[CO2]]-B16,"")</f>
        <v>10915.638067211199</v>
      </c>
      <c r="E17" s="13">
        <f>IFERROR(Todo_Gases_Chile[[#This Row],[CO2 (CO2eq)]]-C16,"")</f>
        <v>10915.638067211199</v>
      </c>
      <c r="F17" s="16">
        <f>(Todo_Gases_Chile[[#This Row],[CO2]]/Todo_Gases_Chile[[#This Row],[Población]])*1000</f>
        <v>-0.46997860260127661</v>
      </c>
      <c r="G17" s="13">
        <v>620.63306450000005</v>
      </c>
      <c r="H17" s="13">
        <f>Todo_Gases_Chile[[#This Row],[CH4]]*25</f>
        <v>15515.826612500001</v>
      </c>
      <c r="I17" s="13">
        <f>IFERROR(Todo_Gases_Chile[[#This Row],[CH4]]-G16,"")</f>
        <v>11.560721100000023</v>
      </c>
      <c r="J17" s="13">
        <f>IFERROR(Todo_Gases_Chile[[#This Row],[Variación CH4]]*25,"")</f>
        <v>289.01802750000058</v>
      </c>
      <c r="K17" s="16">
        <f>(Todo_Gases_Chile[[#This Row],[CH4 (CO2eq)]]/Todo_Gases_Chile[[#This Row],[Población]])*1000</f>
        <v>0.96839956405929228</v>
      </c>
      <c r="L17" s="13">
        <v>24.7936944</v>
      </c>
      <c r="M17" s="13">
        <f>Todo_Gases_Chile[[#This Row],[N2O]]*298</f>
        <v>7388.5209311999997</v>
      </c>
      <c r="N17" s="13">
        <f>IFERROR(Todo_Gases_Chile[[#This Row],[N2O]]-L16,"")</f>
        <v>1.6558533000000004</v>
      </c>
      <c r="O17" s="13">
        <f>IFERROR(Todo_Gases_Chile[[#This Row],[Variación N2O]]*298,"")</f>
        <v>493.44428340000013</v>
      </c>
      <c r="P17" s="16">
        <f>(Todo_Gases_Chile[[#This Row],[N2O (CO2eq)]]/Todo_Gases_Chile[[#This Row],[Población]])*1000</f>
        <v>0.46114465103990832</v>
      </c>
      <c r="Q17" s="16">
        <f>+Todo_Gases_Chile[[#This Row],[HFC (CO2eq)]]/7400</f>
        <v>3.3226443527027028E-2</v>
      </c>
      <c r="R17" s="13">
        <f>IFERROR(Todo_Gases_Chile[[#This Row],[HFC]]-Q16,"")</f>
        <v>4.8520643783783804E-3</v>
      </c>
      <c r="S17" s="13">
        <v>245.87568210000001</v>
      </c>
      <c r="T17" s="13">
        <f>IFERROR(Todo_Gases_Chile[[#This Row],[HFC (CO2eq)]]-S16,"")</f>
        <v>35.90527640000002</v>
      </c>
      <c r="U17" s="17">
        <f>(Todo_Gases_Chile[[#This Row],[HFC (CO2eq)]]/Todo_Gases_Chile[[#This Row],[Población]])*1000</f>
        <v>1.5346001815114132E-2</v>
      </c>
      <c r="V17" s="17">
        <f>+Todo_Gases_Chile[[#This Row],[SF6 (CO2eq)]]/22800</f>
        <v>5.3744302587719296E-3</v>
      </c>
      <c r="W17" s="17">
        <f>IFERROR(Todo_Gases_Chile[[#This Row],[SF6]]-V16,"")</f>
        <v>-6.1041558771929814E-4</v>
      </c>
      <c r="X17" s="13">
        <v>122.5370099</v>
      </c>
      <c r="Y17" s="13">
        <f>IFERROR(Todo_Gases_Chile[[#This Row],[SF6 (CO2eq)]]-X16,"")</f>
        <v>-13.917475399999987</v>
      </c>
      <c r="Z17" s="17">
        <f>(Todo_Gases_Chile[[#This Row],[SF6 (CO2eq)]]/Todo_Gases_Chile[[#This Row],[Población]])*1000</f>
        <v>7.647983567481309E-3</v>
      </c>
      <c r="AA17" s="13">
        <f>+Todo_Gases_Chile[[#This Row],[CO2 (CO2eq)]]+Todo_Gases_Chile[[#This Row],[CH4 (CO2eq)]]+Todo_Gases_Chile[[#This Row],[N2O (CO2eq)]]+Todo_Gases_Chile[[#This Row],[HFC (CO2eq)]]+Todo_Gases_Chile[[#This Row],[SF6 (CO2eq)]]</f>
        <v>15742.7005576682</v>
      </c>
      <c r="AB17" s="13">
        <f>IFERROR(Todo_Gases_Chile[[#This Row],[CO2eq]]-AA16,"")</f>
        <v>11720.088179111201</v>
      </c>
      <c r="AC17" s="16">
        <f>(Todo_Gases_Chile[[#This Row],[CO2eq]]/Todo_Gases_Chile[[#This Row],[Población]])*1000</f>
        <v>0.98255959788051939</v>
      </c>
      <c r="AD17" s="13">
        <v>16022133</v>
      </c>
      <c r="AE17" s="22"/>
      <c r="AF17" s="22"/>
      <c r="AG17" s="5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5">
      <c r="A18" s="2">
        <v>2005</v>
      </c>
      <c r="B18" s="13">
        <v>-5361.5690586925002</v>
      </c>
      <c r="C18" s="13">
        <v>-5361.5690586925002</v>
      </c>
      <c r="D18" s="13">
        <f>IFERROR(Todo_Gases_Chile[[#This Row],[CO2]]-B17,"")</f>
        <v>2168.4906193392999</v>
      </c>
      <c r="E18" s="13">
        <f>IFERROR(Todo_Gases_Chile[[#This Row],[CO2 (CO2eq)]]-C17,"")</f>
        <v>2168.4906193392999</v>
      </c>
      <c r="F18" s="16">
        <f>(Todo_Gases_Chile[[#This Row],[CO2]]/Todo_Gases_Chile[[#This Row],[Población]])*1000</f>
        <v>-0.33129871183479037</v>
      </c>
      <c r="G18" s="13">
        <v>635.47587169999997</v>
      </c>
      <c r="H18" s="13">
        <f>Todo_Gases_Chile[[#This Row],[CH4]]*25</f>
        <v>15886.8967925</v>
      </c>
      <c r="I18" s="13">
        <f>IFERROR(Todo_Gases_Chile[[#This Row],[CH4]]-G17,"")</f>
        <v>14.842807199999925</v>
      </c>
      <c r="J18" s="13">
        <f>IFERROR(Todo_Gases_Chile[[#This Row],[Variación CH4]]*25,"")</f>
        <v>371.07017999999812</v>
      </c>
      <c r="K18" s="16">
        <f>(Todo_Gases_Chile[[#This Row],[CH4 (CO2eq)]]/Todo_Gases_Chile[[#This Row],[Población]])*1000</f>
        <v>0.98167316037351393</v>
      </c>
      <c r="L18" s="13">
        <v>24.560355300000001</v>
      </c>
      <c r="M18" s="13">
        <f>Todo_Gases_Chile[[#This Row],[N2O]]*298</f>
        <v>7318.9858794000002</v>
      </c>
      <c r="N18" s="13">
        <f>IFERROR(Todo_Gases_Chile[[#This Row],[N2O]]-L17,"")</f>
        <v>-0.23333909999999847</v>
      </c>
      <c r="O18" s="13">
        <f>IFERROR(Todo_Gases_Chile[[#This Row],[Variación N2O]]*298,"")</f>
        <v>-69.535051799999536</v>
      </c>
      <c r="P18" s="16">
        <f>(Todo_Gases_Chile[[#This Row],[N2O (CO2eq)]]/Todo_Gases_Chile[[#This Row],[Población]])*1000</f>
        <v>0.45225018408576789</v>
      </c>
      <c r="Q18" s="16">
        <f>+Todo_Gases_Chile[[#This Row],[HFC (CO2eq)]]/7400</f>
        <v>3.7810193054054052E-2</v>
      </c>
      <c r="R18" s="13">
        <f>IFERROR(Todo_Gases_Chile[[#This Row],[HFC]]-Q17,"")</f>
        <v>4.5837495270270243E-3</v>
      </c>
      <c r="S18" s="13">
        <v>279.79542859999998</v>
      </c>
      <c r="T18" s="13">
        <f>IFERROR(Todo_Gases_Chile[[#This Row],[HFC (CO2eq)]]-S17,"")</f>
        <v>33.919746499999974</v>
      </c>
      <c r="U18" s="17">
        <f>(Todo_Gases_Chile[[#This Row],[HFC (CO2eq)]]/Todo_Gases_Chile[[#This Row],[Población]])*1000</f>
        <v>1.7288943601716539E-2</v>
      </c>
      <c r="V18" s="17">
        <f>+Todo_Gases_Chile[[#This Row],[SF6 (CO2eq)]]/22800</f>
        <v>4.9710972236842108E-3</v>
      </c>
      <c r="W18" s="17">
        <f>IFERROR(Todo_Gases_Chile[[#This Row],[SF6]]-V17,"")</f>
        <v>-4.0333303508771883E-4</v>
      </c>
      <c r="X18" s="13">
        <v>113.3410167</v>
      </c>
      <c r="Y18" s="13">
        <f>IFERROR(Todo_Gases_Chile[[#This Row],[SF6 (CO2eq)]]-X17,"")</f>
        <v>-9.1959932000000038</v>
      </c>
      <c r="Z18" s="17">
        <f>(Todo_Gases_Chile[[#This Row],[SF6 (CO2eq)]]/Todo_Gases_Chile[[#This Row],[Población]])*1000</f>
        <v>7.003497002407824E-3</v>
      </c>
      <c r="AA18" s="13">
        <f>+Todo_Gases_Chile[[#This Row],[CO2 (CO2eq)]]+Todo_Gases_Chile[[#This Row],[CH4 (CO2eq)]]+Todo_Gases_Chile[[#This Row],[N2O (CO2eq)]]+Todo_Gases_Chile[[#This Row],[HFC (CO2eq)]]+Todo_Gases_Chile[[#This Row],[SF6 (CO2eq)]]</f>
        <v>18237.450058507497</v>
      </c>
      <c r="AB18" s="13">
        <f>IFERROR(Todo_Gases_Chile[[#This Row],[CO2eq]]-AA17,"")</f>
        <v>2494.7495008392962</v>
      </c>
      <c r="AC18" s="16">
        <f>(Todo_Gases_Chile[[#This Row],[CO2eq]]/Todo_Gases_Chile[[#This Row],[Población]])*1000</f>
        <v>1.1269170732286158</v>
      </c>
      <c r="AD18" s="13">
        <v>16183489</v>
      </c>
      <c r="AE18" s="22"/>
      <c r="AF18" s="22"/>
      <c r="AG18" s="5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x14ac:dyDescent="0.25">
      <c r="A19" s="2">
        <v>2006</v>
      </c>
      <c r="B19" s="13">
        <v>-7871.6258514663004</v>
      </c>
      <c r="C19" s="13">
        <v>-7871.6258514663004</v>
      </c>
      <c r="D19" s="13">
        <f>IFERROR(Todo_Gases_Chile[[#This Row],[CO2]]-B18,"")</f>
        <v>-2510.0567927738002</v>
      </c>
      <c r="E19" s="13">
        <f>IFERROR(Todo_Gases_Chile[[#This Row],[CO2 (CO2eq)]]-C18,"")</f>
        <v>-2510.0567927738002</v>
      </c>
      <c r="F19" s="16">
        <f>(Todo_Gases_Chile[[#This Row],[CO2]]/Todo_Gases_Chile[[#This Row],[Población]])*1000</f>
        <v>-0.48150714566016167</v>
      </c>
      <c r="G19" s="13">
        <v>623.54963740000005</v>
      </c>
      <c r="H19" s="13">
        <f>Todo_Gases_Chile[[#This Row],[CH4]]*25</f>
        <v>15588.740935000002</v>
      </c>
      <c r="I19" s="13">
        <f>IFERROR(Todo_Gases_Chile[[#This Row],[CH4]]-G18,"")</f>
        <v>-11.926234299999919</v>
      </c>
      <c r="J19" s="13">
        <f>IFERROR(Todo_Gases_Chile[[#This Row],[Variación CH4]]*25,"")</f>
        <v>-298.15585749999798</v>
      </c>
      <c r="K19" s="16">
        <f>(Todo_Gases_Chile[[#This Row],[CH4 (CO2eq)]]/Todo_Gases_Chile[[#This Row],[Población]])*1000</f>
        <v>0.9535628717222836</v>
      </c>
      <c r="L19" s="13">
        <v>24.853945</v>
      </c>
      <c r="M19" s="13">
        <f>Todo_Gases_Chile[[#This Row],[N2O]]*298</f>
        <v>7406.4756099999995</v>
      </c>
      <c r="N19" s="13">
        <f>IFERROR(Todo_Gases_Chile[[#This Row],[N2O]]-L18,"")</f>
        <v>0.29358969999999829</v>
      </c>
      <c r="O19" s="13">
        <f>IFERROR(Todo_Gases_Chile[[#This Row],[Variación N2O]]*298,"")</f>
        <v>87.48973059999949</v>
      </c>
      <c r="P19" s="16">
        <f>(Todo_Gases_Chile[[#This Row],[N2O (CO2eq)]]/Todo_Gases_Chile[[#This Row],[Población]])*1000</f>
        <v>0.45305391766154529</v>
      </c>
      <c r="Q19" s="16">
        <f>+Todo_Gases_Chile[[#This Row],[HFC (CO2eq)]]/7400</f>
        <v>5.1386658135135134E-2</v>
      </c>
      <c r="R19" s="13">
        <f>IFERROR(Todo_Gases_Chile[[#This Row],[HFC]]-Q18,"")</f>
        <v>1.3576465081081082E-2</v>
      </c>
      <c r="S19" s="13">
        <v>380.26127020000001</v>
      </c>
      <c r="T19" s="13">
        <f>IFERROR(Todo_Gases_Chile[[#This Row],[HFC (CO2eq)]]-S18,"")</f>
        <v>100.46584160000003</v>
      </c>
      <c r="U19" s="17">
        <f>(Todo_Gases_Chile[[#This Row],[HFC (CO2eq)]]/Todo_Gases_Chile[[#This Row],[Población]])*1000</f>
        <v>2.3260571865849355E-2</v>
      </c>
      <c r="V19" s="17">
        <f>+Todo_Gases_Chile[[#This Row],[SF6 (CO2eq)]]/22800</f>
        <v>5.6901628157894736E-3</v>
      </c>
      <c r="W19" s="17">
        <f>IFERROR(Todo_Gases_Chile[[#This Row],[SF6]]-V18,"")</f>
        <v>7.1906559210526289E-4</v>
      </c>
      <c r="X19" s="13">
        <v>129.73571219999999</v>
      </c>
      <c r="Y19" s="13">
        <f>IFERROR(Todo_Gases_Chile[[#This Row],[SF6 (CO2eq)]]-X18,"")</f>
        <v>16.394695499999997</v>
      </c>
      <c r="Z19" s="17">
        <f>(Todo_Gases_Chile[[#This Row],[SF6 (CO2eq)]]/Todo_Gases_Chile[[#This Row],[Población]])*1000</f>
        <v>7.9359300925073515E-3</v>
      </c>
      <c r="AA19" s="13">
        <f>+Todo_Gases_Chile[[#This Row],[CO2 (CO2eq)]]+Todo_Gases_Chile[[#This Row],[CH4 (CO2eq)]]+Todo_Gases_Chile[[#This Row],[N2O (CO2eq)]]+Todo_Gases_Chile[[#This Row],[HFC (CO2eq)]]+Todo_Gases_Chile[[#This Row],[SF6 (CO2eq)]]</f>
        <v>15633.587675933701</v>
      </c>
      <c r="AB19" s="13">
        <f>IFERROR(Todo_Gases_Chile[[#This Row],[CO2eq]]-AA18,"")</f>
        <v>-2603.8623825737959</v>
      </c>
      <c r="AC19" s="16">
        <f>(Todo_Gases_Chile[[#This Row],[CO2eq]]/Todo_Gases_Chile[[#This Row],[Población]])*1000</f>
        <v>0.95630614568202377</v>
      </c>
      <c r="AD19" s="13">
        <v>16347890</v>
      </c>
      <c r="AE19" s="22"/>
      <c r="AF19" s="22"/>
      <c r="AG19" s="5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x14ac:dyDescent="0.25">
      <c r="A20" s="2">
        <v>2007</v>
      </c>
      <c r="B20" s="13">
        <v>14422.792881126999</v>
      </c>
      <c r="C20" s="13">
        <v>14422.792881126999</v>
      </c>
      <c r="D20" s="13">
        <f>IFERROR(Todo_Gases_Chile[[#This Row],[CO2]]-B19,"")</f>
        <v>22294.418732593302</v>
      </c>
      <c r="E20" s="13">
        <f>IFERROR(Todo_Gases_Chile[[#This Row],[CO2 (CO2eq)]]-C19,"")</f>
        <v>22294.418732593302</v>
      </c>
      <c r="F20" s="16">
        <f>(Todo_Gases_Chile[[#This Row],[CO2]]/Todo_Gases_Chile[[#This Row],[Población]])*1000</f>
        <v>0.87315966720091431</v>
      </c>
      <c r="G20" s="13">
        <v>608.81251999999995</v>
      </c>
      <c r="H20" s="13">
        <f>Todo_Gases_Chile[[#This Row],[CH4]]*25</f>
        <v>15220.312999999998</v>
      </c>
      <c r="I20" s="13">
        <f>IFERROR(Todo_Gases_Chile[[#This Row],[CH4]]-G19,"")</f>
        <v>-14.737117400000102</v>
      </c>
      <c r="J20" s="13">
        <f>IFERROR(Todo_Gases_Chile[[#This Row],[Variación CH4]]*25,"")</f>
        <v>-368.42793500000255</v>
      </c>
      <c r="K20" s="16">
        <f>(Todo_Gases_Chile[[#This Row],[CH4 (CO2eq)]]/Todo_Gases_Chile[[#This Row],[Población]])*1000</f>
        <v>0.9214417445572638</v>
      </c>
      <c r="L20" s="13">
        <v>24.463539099999998</v>
      </c>
      <c r="M20" s="13">
        <f>Todo_Gases_Chile[[#This Row],[N2O]]*298</f>
        <v>7290.1346517999991</v>
      </c>
      <c r="N20" s="13">
        <f>IFERROR(Todo_Gases_Chile[[#This Row],[N2O]]-L19,"")</f>
        <v>-0.39040590000000108</v>
      </c>
      <c r="O20" s="13">
        <f>IFERROR(Todo_Gases_Chile[[#This Row],[Variación N2O]]*298,"")</f>
        <v>-116.34095820000033</v>
      </c>
      <c r="P20" s="16">
        <f>(Todo_Gases_Chile[[#This Row],[N2O (CO2eq)]]/Todo_Gases_Chile[[#This Row],[Población]])*1000</f>
        <v>0.44134666557855629</v>
      </c>
      <c r="Q20" s="16">
        <f>+Todo_Gases_Chile[[#This Row],[HFC (CO2eq)]]/7400</f>
        <v>6.5144428310810812E-2</v>
      </c>
      <c r="R20" s="13">
        <f>IFERROR(Todo_Gases_Chile[[#This Row],[HFC]]-Q19,"")</f>
        <v>1.3757770175675678E-2</v>
      </c>
      <c r="S20" s="13">
        <v>482.06876949999997</v>
      </c>
      <c r="T20" s="13">
        <f>IFERROR(Todo_Gases_Chile[[#This Row],[HFC (CO2eq)]]-S19,"")</f>
        <v>101.80749929999996</v>
      </c>
      <c r="U20" s="17">
        <f>(Todo_Gases_Chile[[#This Row],[HFC (CO2eq)]]/Todo_Gases_Chile[[#This Row],[Población]])*1000</f>
        <v>2.9184569855078113E-2</v>
      </c>
      <c r="V20" s="17">
        <f>+Todo_Gases_Chile[[#This Row],[SF6 (CO2eq)]]/22800</f>
        <v>6.3691709122807019E-3</v>
      </c>
      <c r="W20" s="17">
        <f>IFERROR(Todo_Gases_Chile[[#This Row],[SF6]]-V19,"")</f>
        <v>6.7900809649122824E-4</v>
      </c>
      <c r="X20" s="13">
        <v>145.21709680000001</v>
      </c>
      <c r="Y20" s="13">
        <f>IFERROR(Todo_Gases_Chile[[#This Row],[SF6 (CO2eq)]]-X19,"")</f>
        <v>15.481384600000013</v>
      </c>
      <c r="Z20" s="17">
        <f>(Todo_Gases_Chile[[#This Row],[SF6 (CO2eq)]]/Todo_Gases_Chile[[#This Row],[Población]])*1000</f>
        <v>8.7914811617167844E-3</v>
      </c>
      <c r="AA20" s="13">
        <f>+Todo_Gases_Chile[[#This Row],[CO2 (CO2eq)]]+Todo_Gases_Chile[[#This Row],[CH4 (CO2eq)]]+Todo_Gases_Chile[[#This Row],[N2O (CO2eq)]]+Todo_Gases_Chile[[#This Row],[HFC (CO2eq)]]+Todo_Gases_Chile[[#This Row],[SF6 (CO2eq)]]</f>
        <v>37560.526399226997</v>
      </c>
      <c r="AB20" s="13">
        <f>IFERROR(Todo_Gases_Chile[[#This Row],[CO2eq]]-AA19,"")</f>
        <v>21926.938723293297</v>
      </c>
      <c r="AC20" s="16">
        <f>(Todo_Gases_Chile[[#This Row],[CO2eq]]/Todo_Gases_Chile[[#This Row],[Población]])*1000</f>
        <v>2.2739241283535292</v>
      </c>
      <c r="AD20" s="13">
        <v>16517933</v>
      </c>
      <c r="AE20" s="22"/>
      <c r="AF20" s="22"/>
      <c r="AG20" s="5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x14ac:dyDescent="0.25">
      <c r="A21" s="2">
        <v>2008</v>
      </c>
      <c r="B21" s="13">
        <v>13497.788711318</v>
      </c>
      <c r="C21" s="13">
        <v>13497.788711318</v>
      </c>
      <c r="D21" s="13">
        <f>IFERROR(Todo_Gases_Chile[[#This Row],[CO2]]-B20,"")</f>
        <v>-925.00416980899899</v>
      </c>
      <c r="E21" s="13">
        <f>IFERROR(Todo_Gases_Chile[[#This Row],[CO2 (CO2eq)]]-C20,"")</f>
        <v>-925.00416980899899</v>
      </c>
      <c r="F21" s="16">
        <f>(Todo_Gases_Chile[[#This Row],[CO2]]/Todo_Gases_Chile[[#This Row],[Población]])*1000</f>
        <v>0.80835953813417061</v>
      </c>
      <c r="G21" s="13">
        <v>581.60418230000005</v>
      </c>
      <c r="H21" s="13">
        <f>Todo_Gases_Chile[[#This Row],[CH4]]*25</f>
        <v>14540.104557500001</v>
      </c>
      <c r="I21" s="13">
        <f>IFERROR(Todo_Gases_Chile[[#This Row],[CH4]]-G20,"")</f>
        <v>-27.208337699999902</v>
      </c>
      <c r="J21" s="13">
        <f>IFERROR(Todo_Gases_Chile[[#This Row],[Variación CH4]]*25,"")</f>
        <v>-680.20844249999755</v>
      </c>
      <c r="K21" s="16">
        <f>(Todo_Gases_Chile[[#This Row],[CH4 (CO2eq)]]/Todo_Gases_Chile[[#This Row],[Población]])*1000</f>
        <v>0.87078205592800095</v>
      </c>
      <c r="L21" s="13">
        <v>24.7987444</v>
      </c>
      <c r="M21" s="13">
        <f>Todo_Gases_Chile[[#This Row],[N2O]]*298</f>
        <v>7390.0258312000005</v>
      </c>
      <c r="N21" s="13">
        <f>IFERROR(Todo_Gases_Chile[[#This Row],[N2O]]-L20,"")</f>
        <v>0.33520530000000193</v>
      </c>
      <c r="O21" s="13">
        <f>IFERROR(Todo_Gases_Chile[[#This Row],[Variación N2O]]*298,"")</f>
        <v>99.891179400000567</v>
      </c>
      <c r="P21" s="16">
        <f>(Todo_Gases_Chile[[#This Row],[N2O (CO2eq)]]/Todo_Gases_Chile[[#This Row],[Población]])*1000</f>
        <v>0.44257603934038081</v>
      </c>
      <c r="Q21" s="16">
        <f>+Todo_Gases_Chile[[#This Row],[HFC (CO2eq)]]/7400</f>
        <v>8.6965939702702694E-2</v>
      </c>
      <c r="R21" s="13">
        <f>IFERROR(Todo_Gases_Chile[[#This Row],[HFC]]-Q20,"")</f>
        <v>2.1821511391891882E-2</v>
      </c>
      <c r="S21" s="13">
        <v>643.54795379999996</v>
      </c>
      <c r="T21" s="13">
        <f>IFERROR(Todo_Gases_Chile[[#This Row],[HFC (CO2eq)]]-S20,"")</f>
        <v>161.47918429999999</v>
      </c>
      <c r="U21" s="17">
        <f>(Todo_Gases_Chile[[#This Row],[HFC (CO2eq)]]/Todo_Gases_Chile[[#This Row],[Población]])*1000</f>
        <v>3.8540989033614935E-2</v>
      </c>
      <c r="V21" s="17">
        <f>+Todo_Gases_Chile[[#This Row],[SF6 (CO2eq)]]/22800</f>
        <v>7.8448347149122806E-3</v>
      </c>
      <c r="W21" s="17">
        <f>IFERROR(Todo_Gases_Chile[[#This Row],[SF6]]-V20,"")</f>
        <v>1.4756638026315787E-3</v>
      </c>
      <c r="X21" s="13">
        <v>178.86223150000001</v>
      </c>
      <c r="Y21" s="13">
        <f>IFERROR(Todo_Gases_Chile[[#This Row],[SF6 (CO2eq)]]-X20,"")</f>
        <v>33.6451347</v>
      </c>
      <c r="Z21" s="17">
        <f>(Todo_Gases_Chile[[#This Row],[SF6 (CO2eq)]]/Todo_Gases_Chile[[#This Row],[Población]])*1000</f>
        <v>1.0711753898158998E-2</v>
      </c>
      <c r="AA21" s="13">
        <f>+Todo_Gases_Chile[[#This Row],[CO2 (CO2eq)]]+Todo_Gases_Chile[[#This Row],[CH4 (CO2eq)]]+Todo_Gases_Chile[[#This Row],[N2O (CO2eq)]]+Todo_Gases_Chile[[#This Row],[HFC (CO2eq)]]+Todo_Gases_Chile[[#This Row],[SF6 (CO2eq)]]</f>
        <v>36250.329285318003</v>
      </c>
      <c r="AB21" s="13">
        <f>IFERROR(Todo_Gases_Chile[[#This Row],[CO2eq]]-AA20,"")</f>
        <v>-1310.1971139089947</v>
      </c>
      <c r="AC21" s="16">
        <f>(Todo_Gases_Chile[[#This Row],[CO2eq]]/Todo_Gases_Chile[[#This Row],[Población]])*1000</f>
        <v>2.1709703763343264</v>
      </c>
      <c r="AD21" s="13">
        <v>16697754</v>
      </c>
      <c r="AE21" s="22"/>
      <c r="AF21" s="22"/>
      <c r="AG21" s="5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x14ac:dyDescent="0.25">
      <c r="A22" s="2">
        <v>2009</v>
      </c>
      <c r="B22" s="13">
        <v>5877.0563193751996</v>
      </c>
      <c r="C22" s="13">
        <v>5877.0563193751996</v>
      </c>
      <c r="D22" s="13">
        <f>IFERROR(Todo_Gases_Chile[[#This Row],[CO2]]-B21,"")</f>
        <v>-7620.7323919428009</v>
      </c>
      <c r="E22" s="13">
        <f>IFERROR(Todo_Gases_Chile[[#This Row],[CO2 (CO2eq)]]-C21,"")</f>
        <v>-7620.7323919428009</v>
      </c>
      <c r="F22" s="16">
        <f>(Todo_Gases_Chile[[#This Row],[CO2]]/Todo_Gases_Chile[[#This Row],[Población]])*1000</f>
        <v>0.34814461015909048</v>
      </c>
      <c r="G22" s="13">
        <v>567.28696739999998</v>
      </c>
      <c r="H22" s="13">
        <f>Todo_Gases_Chile[[#This Row],[CH4]]*25</f>
        <v>14182.174185</v>
      </c>
      <c r="I22" s="13">
        <f>IFERROR(Todo_Gases_Chile[[#This Row],[CH4]]-G21,"")</f>
        <v>-14.317214900000067</v>
      </c>
      <c r="J22" s="13">
        <f>IFERROR(Todo_Gases_Chile[[#This Row],[Variación CH4]]*25,"")</f>
        <v>-357.93037250000168</v>
      </c>
      <c r="K22" s="16">
        <f>(Todo_Gases_Chile[[#This Row],[CH4 (CO2eq)]]/Todo_Gases_Chile[[#This Row],[Población]])*1000</f>
        <v>0.84012254341813952</v>
      </c>
      <c r="L22" s="13">
        <v>24.719218300000001</v>
      </c>
      <c r="M22" s="13">
        <f>Todo_Gases_Chile[[#This Row],[N2O]]*298</f>
        <v>7366.3270534000003</v>
      </c>
      <c r="N22" s="13">
        <f>IFERROR(Todo_Gases_Chile[[#This Row],[N2O]]-L21,"")</f>
        <v>-7.9526099999998934E-2</v>
      </c>
      <c r="O22" s="13">
        <f>IFERROR(Todo_Gases_Chile[[#This Row],[Variación N2O]]*298,"")</f>
        <v>-23.698777799999682</v>
      </c>
      <c r="P22" s="16">
        <f>(Todo_Gases_Chile[[#This Row],[N2O (CO2eq)]]/Todo_Gases_Chile[[#This Row],[Población]])*1000</f>
        <v>0.43636591534024077</v>
      </c>
      <c r="Q22" s="16">
        <f>+Todo_Gases_Chile[[#This Row],[HFC (CO2eq)]]/7400</f>
        <v>0.10236078162162163</v>
      </c>
      <c r="R22" s="13">
        <f>IFERROR(Todo_Gases_Chile[[#This Row],[HFC]]-Q21,"")</f>
        <v>1.5394841918918933E-2</v>
      </c>
      <c r="S22" s="13">
        <v>757.469784</v>
      </c>
      <c r="T22" s="13">
        <f>IFERROR(Todo_Gases_Chile[[#This Row],[HFC (CO2eq)]]-S21,"")</f>
        <v>113.92183020000004</v>
      </c>
      <c r="U22" s="17">
        <f>(Todo_Gases_Chile[[#This Row],[HFC (CO2eq)]]/Todo_Gases_Chile[[#This Row],[Población]])*1000</f>
        <v>4.4870936796808827E-2</v>
      </c>
      <c r="V22" s="17">
        <f>+Todo_Gases_Chile[[#This Row],[SF6 (CO2eq)]]/22800</f>
        <v>7.399035631578948E-3</v>
      </c>
      <c r="W22" s="17">
        <f>IFERROR(Todo_Gases_Chile[[#This Row],[SF6]]-V21,"")</f>
        <v>-4.4579908333333262E-4</v>
      </c>
      <c r="X22" s="13">
        <v>168.69801240000001</v>
      </c>
      <c r="Y22" s="13">
        <f>IFERROR(Todo_Gases_Chile[[#This Row],[SF6 (CO2eq)]]-X21,"")</f>
        <v>-10.164219099999997</v>
      </c>
      <c r="Z22" s="17">
        <f>(Todo_Gases_Chile[[#This Row],[SF6 (CO2eq)]]/Todo_Gases_Chile[[#This Row],[Población]])*1000</f>
        <v>9.9933198815857632E-3</v>
      </c>
      <c r="AA22" s="13">
        <f>+Todo_Gases_Chile[[#This Row],[CO2 (CO2eq)]]+Todo_Gases_Chile[[#This Row],[CH4 (CO2eq)]]+Todo_Gases_Chile[[#This Row],[N2O (CO2eq)]]+Todo_Gases_Chile[[#This Row],[HFC (CO2eq)]]+Todo_Gases_Chile[[#This Row],[SF6 (CO2eq)]]</f>
        <v>28351.7253541752</v>
      </c>
      <c r="AB22" s="13">
        <f>IFERROR(Todo_Gases_Chile[[#This Row],[CO2eq]]-AA21,"")</f>
        <v>-7898.603931142803</v>
      </c>
      <c r="AC22" s="16">
        <f>(Todo_Gases_Chile[[#This Row],[CO2eq]]/Todo_Gases_Chile[[#This Row],[Población]])*1000</f>
        <v>1.6794973255958654</v>
      </c>
      <c r="AD22" s="13">
        <v>16881078</v>
      </c>
      <c r="AE22" s="22"/>
      <c r="AF22" s="22"/>
      <c r="AG22" s="5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x14ac:dyDescent="0.25">
      <c r="A23" s="2">
        <v>2010</v>
      </c>
      <c r="B23" s="13">
        <v>-2080.3808746532</v>
      </c>
      <c r="C23" s="13">
        <v>-2080.3808746532</v>
      </c>
      <c r="D23" s="13">
        <f>IFERROR(Todo_Gases_Chile[[#This Row],[CO2]]-B22,"")</f>
        <v>-7957.4371940284</v>
      </c>
      <c r="E23" s="13">
        <f>IFERROR(Todo_Gases_Chile[[#This Row],[CO2 (CO2eq)]]-C22,"")</f>
        <v>-7957.4371940284</v>
      </c>
      <c r="F23" s="16">
        <f>(Todo_Gases_Chile[[#This Row],[CO2]]/Todo_Gases_Chile[[#This Row],[Población]])*1000</f>
        <v>-0.12191688786837872</v>
      </c>
      <c r="G23" s="13">
        <v>542.51261380000005</v>
      </c>
      <c r="H23" s="13">
        <f>Todo_Gases_Chile[[#This Row],[CH4]]*25</f>
        <v>13562.815345000001</v>
      </c>
      <c r="I23" s="13">
        <f>IFERROR(Todo_Gases_Chile[[#This Row],[CH4]]-G22,"")</f>
        <v>-24.774353599999927</v>
      </c>
      <c r="J23" s="13">
        <f>IFERROR(Todo_Gases_Chile[[#This Row],[Variación CH4]]*25,"")</f>
        <v>-619.35883999999817</v>
      </c>
      <c r="K23" s="16">
        <f>(Todo_Gases_Chile[[#This Row],[CH4 (CO2eq)]]/Todo_Gases_Chile[[#This Row],[Población]])*1000</f>
        <v>0.7948238025748704</v>
      </c>
      <c r="L23" s="13">
        <v>24.181797100000001</v>
      </c>
      <c r="M23" s="13">
        <f>Todo_Gases_Chile[[#This Row],[N2O]]*298</f>
        <v>7206.1755358</v>
      </c>
      <c r="N23" s="13">
        <f>IFERROR(Todo_Gases_Chile[[#This Row],[N2O]]-L22,"")</f>
        <v>-0.53742120000000071</v>
      </c>
      <c r="O23" s="13">
        <f>IFERROR(Todo_Gases_Chile[[#This Row],[Variación N2O]]*298,"")</f>
        <v>-160.1515176000002</v>
      </c>
      <c r="P23" s="16">
        <f>(Todo_Gases_Chile[[#This Row],[N2O (CO2eq)]]/Todo_Gases_Chile[[#This Row],[Población]])*1000</f>
        <v>0.42230463924277217</v>
      </c>
      <c r="Q23" s="16">
        <f>+Todo_Gases_Chile[[#This Row],[HFC (CO2eq)]]/7400</f>
        <v>0.13514490662162162</v>
      </c>
      <c r="R23" s="13">
        <f>IFERROR(Todo_Gases_Chile[[#This Row],[HFC]]-Q22,"")</f>
        <v>3.2784124999999997E-2</v>
      </c>
      <c r="S23" s="13">
        <v>1000.072309</v>
      </c>
      <c r="T23" s="13">
        <f>IFERROR(Todo_Gases_Chile[[#This Row],[HFC (CO2eq)]]-S22,"")</f>
        <v>242.60252500000001</v>
      </c>
      <c r="U23" s="17">
        <f>(Todo_Gases_Chile[[#This Row],[HFC (CO2eq)]]/Todo_Gases_Chile[[#This Row],[Población]])*1000</f>
        <v>5.8607394944903364E-2</v>
      </c>
      <c r="V23" s="17">
        <f>+Todo_Gases_Chile[[#This Row],[SF6 (CO2eq)]]/22800</f>
        <v>1.064434776754386E-2</v>
      </c>
      <c r="W23" s="17">
        <f>IFERROR(Todo_Gases_Chile[[#This Row],[SF6]]-V22,"")</f>
        <v>3.2453121359649123E-3</v>
      </c>
      <c r="X23" s="13">
        <v>242.69112910000001</v>
      </c>
      <c r="Y23" s="13">
        <f>IFERROR(Todo_Gases_Chile[[#This Row],[SF6 (CO2eq)]]-X22,"")</f>
        <v>73.993116700000002</v>
      </c>
      <c r="Z23" s="17">
        <f>(Todo_Gases_Chile[[#This Row],[SF6 (CO2eq)]]/Todo_Gases_Chile[[#This Row],[Población]])*1000</f>
        <v>1.4222466440462387E-2</v>
      </c>
      <c r="AA23" s="13">
        <f>+Todo_Gases_Chile[[#This Row],[CO2 (CO2eq)]]+Todo_Gases_Chile[[#This Row],[CH4 (CO2eq)]]+Todo_Gases_Chile[[#This Row],[N2O (CO2eq)]]+Todo_Gases_Chile[[#This Row],[HFC (CO2eq)]]+Todo_Gases_Chile[[#This Row],[SF6 (CO2eq)]]</f>
        <v>19931.373444246801</v>
      </c>
      <c r="AB23" s="13">
        <f>IFERROR(Todo_Gases_Chile[[#This Row],[CO2eq]]-AA22,"")</f>
        <v>-8420.3519099283985</v>
      </c>
      <c r="AC23" s="16">
        <f>(Todo_Gases_Chile[[#This Row],[CO2eq]]/Todo_Gases_Chile[[#This Row],[Población]])*1000</f>
        <v>1.1680414153346297</v>
      </c>
      <c r="AD23" s="13">
        <v>17063927</v>
      </c>
      <c r="AE23" s="22"/>
      <c r="AF23" s="22"/>
      <c r="AG23" s="5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5">
      <c r="A24" s="2">
        <v>2011</v>
      </c>
      <c r="B24" s="13">
        <v>12727.330102596001</v>
      </c>
      <c r="C24" s="13">
        <v>12727.330102596001</v>
      </c>
      <c r="D24" s="13">
        <f>IFERROR(Todo_Gases_Chile[[#This Row],[CO2]]-B23,"")</f>
        <v>14807.7109772492</v>
      </c>
      <c r="E24" s="13">
        <f>IFERROR(Todo_Gases_Chile[[#This Row],[CO2 (CO2eq)]]-C23,"")</f>
        <v>14807.7109772492</v>
      </c>
      <c r="F24" s="16">
        <f>(Todo_Gases_Chile[[#This Row],[CO2]]/Todo_Gases_Chile[[#This Row],[Población]])*1000</f>
        <v>0.73763839214626459</v>
      </c>
      <c r="G24" s="13">
        <v>532.34652119999998</v>
      </c>
      <c r="H24" s="13">
        <f>Todo_Gases_Chile[[#This Row],[CH4]]*25</f>
        <v>13308.66303</v>
      </c>
      <c r="I24" s="13">
        <f>IFERROR(Todo_Gases_Chile[[#This Row],[CH4]]-G23,"")</f>
        <v>-10.16609260000007</v>
      </c>
      <c r="J24" s="13">
        <f>IFERROR(Todo_Gases_Chile[[#This Row],[Variación CH4]]*25,"")</f>
        <v>-254.15231500000175</v>
      </c>
      <c r="K24" s="16">
        <f>(Todo_Gases_Chile[[#This Row],[CH4 (CO2eq)]]/Todo_Gases_Chile[[#This Row],[Población]])*1000</f>
        <v>0.7713307284348081</v>
      </c>
      <c r="L24" s="13">
        <v>22.637913099999999</v>
      </c>
      <c r="M24" s="13">
        <f>Todo_Gases_Chile[[#This Row],[N2O]]*298</f>
        <v>6746.0981038</v>
      </c>
      <c r="N24" s="13">
        <f>IFERROR(Todo_Gases_Chile[[#This Row],[N2O]]-L23,"")</f>
        <v>-1.543884000000002</v>
      </c>
      <c r="O24" s="13">
        <f>IFERROR(Todo_Gases_Chile[[#This Row],[Variación N2O]]*298,"")</f>
        <v>-460.07743200000061</v>
      </c>
      <c r="P24" s="16">
        <f>(Todo_Gases_Chile[[#This Row],[N2O (CO2eq)]]/Todo_Gases_Chile[[#This Row],[Población]])*1000</f>
        <v>0.39098388416381236</v>
      </c>
      <c r="Q24" s="16">
        <f>+Todo_Gases_Chile[[#This Row],[HFC (CO2eq)]]/7400</f>
        <v>0.17813445544594594</v>
      </c>
      <c r="R24" s="13">
        <f>IFERROR(Todo_Gases_Chile[[#This Row],[HFC]]-Q23,"")</f>
        <v>4.298954882432432E-2</v>
      </c>
      <c r="S24" s="13">
        <v>1318.1949703</v>
      </c>
      <c r="T24" s="13">
        <f>IFERROR(Todo_Gases_Chile[[#This Row],[HFC (CO2eq)]]-S23,"")</f>
        <v>318.1226613</v>
      </c>
      <c r="U24" s="17">
        <f>(Todo_Gases_Chile[[#This Row],[HFC (CO2eq)]]/Todo_Gases_Chile[[#This Row],[Población]])*1000</f>
        <v>7.6398679895090804E-2</v>
      </c>
      <c r="V24" s="17">
        <f>+Todo_Gases_Chile[[#This Row],[SF6 (CO2eq)]]/22800</f>
        <v>1.0738940153508772E-2</v>
      </c>
      <c r="W24" s="17">
        <f>IFERROR(Todo_Gases_Chile[[#This Row],[SF6]]-V23,"")</f>
        <v>9.4592385964912054E-5</v>
      </c>
      <c r="X24" s="13">
        <v>244.8478355</v>
      </c>
      <c r="Y24" s="13">
        <f>IFERROR(Todo_Gases_Chile[[#This Row],[SF6 (CO2eq)]]-X23,"")</f>
        <v>2.1567063999999903</v>
      </c>
      <c r="Z24" s="17">
        <f>(Todo_Gases_Chile[[#This Row],[SF6 (CO2eq)]]/Todo_Gases_Chile[[#This Row],[Población]])*1000</f>
        <v>1.4190656032554238E-2</v>
      </c>
      <c r="AA24" s="13">
        <f>+Todo_Gases_Chile[[#This Row],[CO2 (CO2eq)]]+Todo_Gases_Chile[[#This Row],[CH4 (CO2eq)]]+Todo_Gases_Chile[[#This Row],[N2O (CO2eq)]]+Todo_Gases_Chile[[#This Row],[HFC (CO2eq)]]+Todo_Gases_Chile[[#This Row],[SF6 (CO2eq)]]</f>
        <v>34345.134042195998</v>
      </c>
      <c r="AB24" s="13">
        <f>IFERROR(Todo_Gases_Chile[[#This Row],[CO2eq]]-AA23,"")</f>
        <v>14413.760597949196</v>
      </c>
      <c r="AC24" s="16">
        <f>(Todo_Gases_Chile[[#This Row],[CO2eq]]/Todo_Gases_Chile[[#This Row],[Población]])*1000</f>
        <v>1.9905423406725298</v>
      </c>
      <c r="AD24" s="13">
        <v>17254159</v>
      </c>
      <c r="AE24" s="22"/>
      <c r="AF24" s="22"/>
      <c r="AG24" s="5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x14ac:dyDescent="0.25">
      <c r="A25" s="2">
        <v>2012</v>
      </c>
      <c r="B25" s="13">
        <v>20168.144297086001</v>
      </c>
      <c r="C25" s="13">
        <v>20168.144297086001</v>
      </c>
      <c r="D25" s="13">
        <f>IFERROR(Todo_Gases_Chile[[#This Row],[CO2]]-B24,"")</f>
        <v>7440.8141944899999</v>
      </c>
      <c r="E25" s="13">
        <f>IFERROR(Todo_Gases_Chile[[#This Row],[CO2 (CO2eq)]]-C24,"")</f>
        <v>7440.8141944899999</v>
      </c>
      <c r="F25" s="16">
        <f>(Todo_Gases_Chile[[#This Row],[CO2]]/Todo_Gases_Chile[[#This Row],[Población]])*1000</f>
        <v>1.1561988536059669</v>
      </c>
      <c r="G25" s="13">
        <v>561.50480289999996</v>
      </c>
      <c r="H25" s="13">
        <f>Todo_Gases_Chile[[#This Row],[CH4]]*25</f>
        <v>14037.620072499998</v>
      </c>
      <c r="I25" s="13">
        <f>IFERROR(Todo_Gases_Chile[[#This Row],[CH4]]-G24,"")</f>
        <v>29.158281699999975</v>
      </c>
      <c r="J25" s="13">
        <f>IFERROR(Todo_Gases_Chile[[#This Row],[Variación CH4]]*25,"")</f>
        <v>728.95704249999937</v>
      </c>
      <c r="K25" s="16">
        <f>(Todo_Gases_Chile[[#This Row],[CH4 (CO2eq)]]/Todo_Gases_Chile[[#This Row],[Población]])*1000</f>
        <v>0.80474831973141148</v>
      </c>
      <c r="L25" s="13">
        <v>23.6220359</v>
      </c>
      <c r="M25" s="13">
        <f>Todo_Gases_Chile[[#This Row],[N2O]]*298</f>
        <v>7039.3666982000004</v>
      </c>
      <c r="N25" s="13">
        <f>IFERROR(Todo_Gases_Chile[[#This Row],[N2O]]-L24,"")</f>
        <v>0.98412280000000152</v>
      </c>
      <c r="O25" s="13">
        <f>IFERROR(Todo_Gases_Chile[[#This Row],[Variación N2O]]*298,"")</f>
        <v>293.26859440000044</v>
      </c>
      <c r="P25" s="16">
        <f>(Todo_Gases_Chile[[#This Row],[N2O (CO2eq)]]/Todo_Gases_Chile[[#This Row],[Población]])*1000</f>
        <v>0.40355263164924959</v>
      </c>
      <c r="Q25" s="16">
        <f>+Todo_Gases_Chile[[#This Row],[HFC (CO2eq)]]/7400</f>
        <v>0.21391451393243244</v>
      </c>
      <c r="R25" s="13">
        <f>IFERROR(Todo_Gases_Chile[[#This Row],[HFC]]-Q24,"")</f>
        <v>3.5780058486486493E-2</v>
      </c>
      <c r="S25" s="13">
        <v>1582.9674031</v>
      </c>
      <c r="T25" s="13">
        <f>IFERROR(Todo_Gases_Chile[[#This Row],[HFC (CO2eq)]]-S24,"")</f>
        <v>264.77243279999993</v>
      </c>
      <c r="U25" s="17">
        <f>(Todo_Gases_Chile[[#This Row],[HFC (CO2eq)]]/Todo_Gases_Chile[[#This Row],[Población]])*1000</f>
        <v>9.0748314262322841E-2</v>
      </c>
      <c r="V25" s="17">
        <f>+Todo_Gases_Chile[[#This Row],[SF6 (CO2eq)]]/22800</f>
        <v>1.0222641188596492E-2</v>
      </c>
      <c r="W25" s="17">
        <f>IFERROR(Todo_Gases_Chile[[#This Row],[SF6]]-V24,"")</f>
        <v>-5.1629896491228039E-4</v>
      </c>
      <c r="X25" s="13">
        <v>233.0762191</v>
      </c>
      <c r="Y25" s="13">
        <f>IFERROR(Todo_Gases_Chile[[#This Row],[SF6 (CO2eq)]]-X24,"")</f>
        <v>-11.771616399999999</v>
      </c>
      <c r="Z25" s="17">
        <f>(Todo_Gases_Chile[[#This Row],[SF6 (CO2eq)]]/Todo_Gases_Chile[[#This Row],[Población]])*1000</f>
        <v>1.3361787448395508E-2</v>
      </c>
      <c r="AA25" s="13">
        <f>+Todo_Gases_Chile[[#This Row],[CO2 (CO2eq)]]+Todo_Gases_Chile[[#This Row],[CH4 (CO2eq)]]+Todo_Gases_Chile[[#This Row],[N2O (CO2eq)]]+Todo_Gases_Chile[[#This Row],[HFC (CO2eq)]]+Todo_Gases_Chile[[#This Row],[SF6 (CO2eq)]]</f>
        <v>43061.174689986008</v>
      </c>
      <c r="AB25" s="13">
        <f>IFERROR(Todo_Gases_Chile[[#This Row],[CO2eq]]-AA24,"")</f>
        <v>8716.0406477900106</v>
      </c>
      <c r="AC25" s="16">
        <f>(Todo_Gases_Chile[[#This Row],[CO2eq]]/Todo_Gases_Chile[[#This Row],[Población]])*1000</f>
        <v>2.4686099066973468</v>
      </c>
      <c r="AD25" s="13">
        <v>17443491</v>
      </c>
      <c r="AE25" s="22"/>
      <c r="AF25" s="22"/>
      <c r="AG25" s="5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x14ac:dyDescent="0.25">
      <c r="A26" s="2">
        <v>2013</v>
      </c>
      <c r="B26" s="13">
        <v>9056.2973939031999</v>
      </c>
      <c r="C26" s="13">
        <v>9056.2973939031999</v>
      </c>
      <c r="D26" s="13">
        <f>IFERROR(Todo_Gases_Chile[[#This Row],[CO2]]-B25,"")</f>
        <v>-11111.846903182801</v>
      </c>
      <c r="E26" s="13">
        <f>IFERROR(Todo_Gases_Chile[[#This Row],[CO2 (CO2eq)]]-C25,"")</f>
        <v>-11111.846903182801</v>
      </c>
      <c r="F26" s="16">
        <f>(Todo_Gases_Chile[[#This Row],[CO2]]/Todo_Gases_Chile[[#This Row],[Población]])*1000</f>
        <v>0.51421461429340232</v>
      </c>
      <c r="G26" s="13">
        <v>570.63280899999995</v>
      </c>
      <c r="H26" s="13">
        <f>Todo_Gases_Chile[[#This Row],[CH4]]*25</f>
        <v>14265.820224999999</v>
      </c>
      <c r="I26" s="13">
        <f>IFERROR(Todo_Gases_Chile[[#This Row],[CH4]]-G25,"")</f>
        <v>9.1280060999999932</v>
      </c>
      <c r="J26" s="13">
        <f>IFERROR(Todo_Gases_Chile[[#This Row],[Variación CH4]]*25,"")</f>
        <v>228.20015249999983</v>
      </c>
      <c r="K26" s="16">
        <f>(Todo_Gases_Chile[[#This Row],[CH4 (CO2eq)]]/Todo_Gases_Chile[[#This Row],[Población]])*1000</f>
        <v>0.81001019793319307</v>
      </c>
      <c r="L26" s="13">
        <v>23.465763800000001</v>
      </c>
      <c r="M26" s="13">
        <f>Todo_Gases_Chile[[#This Row],[N2O]]*298</f>
        <v>6992.7976124000006</v>
      </c>
      <c r="N26" s="13">
        <f>IFERROR(Todo_Gases_Chile[[#This Row],[N2O]]-L25,"")</f>
        <v>-0.15627209999999891</v>
      </c>
      <c r="O26" s="13">
        <f>IFERROR(Todo_Gases_Chile[[#This Row],[Variación N2O]]*298,"")</f>
        <v>-46.569085799999677</v>
      </c>
      <c r="P26" s="16">
        <f>(Todo_Gases_Chile[[#This Row],[N2O (CO2eq)]]/Todo_Gases_Chile[[#This Row],[Población]])*1000</f>
        <v>0.39704954140671467</v>
      </c>
      <c r="Q26" s="16">
        <f>+Todo_Gases_Chile[[#This Row],[HFC (CO2eq)]]/7400</f>
        <v>0.25244818836486488</v>
      </c>
      <c r="R26" s="13">
        <f>IFERROR(Todo_Gases_Chile[[#This Row],[HFC]]-Q25,"")</f>
        <v>3.8533674432432441E-2</v>
      </c>
      <c r="S26" s="13">
        <v>1868.1165939</v>
      </c>
      <c r="T26" s="13">
        <f>IFERROR(Todo_Gases_Chile[[#This Row],[HFC (CO2eq)]]-S25,"")</f>
        <v>285.14919080000004</v>
      </c>
      <c r="U26" s="17">
        <f>(Todo_Gases_Chile[[#This Row],[HFC (CO2eq)]]/Todo_Gases_Chile[[#This Row],[Población]])*1000</f>
        <v>0.1060712576018195</v>
      </c>
      <c r="V26" s="17">
        <f>+Todo_Gases_Chile[[#This Row],[SF6 (CO2eq)]]/22800</f>
        <v>1.0255473701754385E-2</v>
      </c>
      <c r="W26" s="17">
        <f>IFERROR(Todo_Gases_Chile[[#This Row],[SF6]]-V25,"")</f>
        <v>3.2832513157892915E-5</v>
      </c>
      <c r="X26" s="13">
        <v>233.82480039999999</v>
      </c>
      <c r="Y26" s="13">
        <f>IFERROR(Todo_Gases_Chile[[#This Row],[SF6 (CO2eq)]]-X25,"")</f>
        <v>0.74858129999998368</v>
      </c>
      <c r="Z26" s="17">
        <f>(Todo_Gases_Chile[[#This Row],[SF6 (CO2eq)]]/Todo_Gases_Chile[[#This Row],[Población]])*1000</f>
        <v>1.3276521774877011E-2</v>
      </c>
      <c r="AA26" s="13">
        <f>+Todo_Gases_Chile[[#This Row],[CO2 (CO2eq)]]+Todo_Gases_Chile[[#This Row],[CH4 (CO2eq)]]+Todo_Gases_Chile[[#This Row],[N2O (CO2eq)]]+Todo_Gases_Chile[[#This Row],[HFC (CO2eq)]]+Todo_Gases_Chile[[#This Row],[SF6 (CO2eq)]]</f>
        <v>32416.856625603199</v>
      </c>
      <c r="AB26" s="13">
        <f>IFERROR(Todo_Gases_Chile[[#This Row],[CO2eq]]-AA25,"")</f>
        <v>-10644.318064382809</v>
      </c>
      <c r="AC26" s="16">
        <f>(Todo_Gases_Chile[[#This Row],[CO2eq]]/Todo_Gases_Chile[[#This Row],[Población]])*1000</f>
        <v>1.8406221330100065</v>
      </c>
      <c r="AD26" s="13">
        <v>17611902</v>
      </c>
      <c r="AE26" s="22"/>
      <c r="AF26" s="22"/>
      <c r="AG26" s="5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x14ac:dyDescent="0.25">
      <c r="A27" s="2">
        <v>2014</v>
      </c>
      <c r="B27" s="13">
        <v>21624.464269773998</v>
      </c>
      <c r="C27" s="13">
        <v>21624.464269773998</v>
      </c>
      <c r="D27" s="13">
        <f>IFERROR(Todo_Gases_Chile[[#This Row],[CO2]]-B26,"")</f>
        <v>12568.166875870798</v>
      </c>
      <c r="E27" s="13">
        <f>IFERROR(Todo_Gases_Chile[[#This Row],[CO2 (CO2eq)]]-C26,"")</f>
        <v>12568.166875870798</v>
      </c>
      <c r="F27" s="16">
        <f>(Todo_Gases_Chile[[#This Row],[CO2]]/Todo_Gases_Chile[[#This Row],[Población]])*1000</f>
        <v>1.2157032765982085</v>
      </c>
      <c r="G27" s="13">
        <v>575.01194250000003</v>
      </c>
      <c r="H27" s="13">
        <f>Todo_Gases_Chile[[#This Row],[CH4]]*25</f>
        <v>14375.2985625</v>
      </c>
      <c r="I27" s="13">
        <f>IFERROR(Todo_Gases_Chile[[#This Row],[CH4]]-G26,"")</f>
        <v>4.3791335000000799</v>
      </c>
      <c r="J27" s="13">
        <f>IFERROR(Todo_Gases_Chile[[#This Row],[Variación CH4]]*25,"")</f>
        <v>109.478337500002</v>
      </c>
      <c r="K27" s="16">
        <f>(Todo_Gases_Chile[[#This Row],[CH4 (CO2eq)]]/Todo_Gases_Chile[[#This Row],[Población]])*1000</f>
        <v>0.80816326113273074</v>
      </c>
      <c r="L27" s="13">
        <v>24.098971500000001</v>
      </c>
      <c r="M27" s="13">
        <f>Todo_Gases_Chile[[#This Row],[N2O]]*298</f>
        <v>7181.4935070000001</v>
      </c>
      <c r="N27" s="13">
        <f>IFERROR(Todo_Gases_Chile[[#This Row],[N2O]]-L26,"")</f>
        <v>0.63320769999999982</v>
      </c>
      <c r="O27" s="13">
        <f>IFERROR(Todo_Gases_Chile[[#This Row],[Variación N2O]]*298,"")</f>
        <v>188.69589459999995</v>
      </c>
      <c r="P27" s="16">
        <f>(Todo_Gases_Chile[[#This Row],[N2O (CO2eq)]]/Todo_Gases_Chile[[#This Row],[Población]])*1000</f>
        <v>0.40373555979983156</v>
      </c>
      <c r="Q27" s="16">
        <f>+Todo_Gases_Chile[[#This Row],[HFC (CO2eq)]]/7400</f>
        <v>0.31586134001351351</v>
      </c>
      <c r="R27" s="13">
        <f>IFERROR(Todo_Gases_Chile[[#This Row],[HFC]]-Q26,"")</f>
        <v>6.3413151648648636E-2</v>
      </c>
      <c r="S27" s="13">
        <v>2337.3739160999999</v>
      </c>
      <c r="T27" s="13">
        <f>IFERROR(Todo_Gases_Chile[[#This Row],[HFC (CO2eq)]]-S26,"")</f>
        <v>469.25732219999986</v>
      </c>
      <c r="U27" s="17">
        <f>(Todo_Gases_Chile[[#This Row],[HFC (CO2eq)]]/Todo_Gases_Chile[[#This Row],[Población]])*1000</f>
        <v>0.13140455610776866</v>
      </c>
      <c r="V27" s="17">
        <f>+Todo_Gases_Chile[[#This Row],[SF6 (CO2eq)]]/22800</f>
        <v>1.0214803127192982E-2</v>
      </c>
      <c r="W27" s="17">
        <f>IFERROR(Todo_Gases_Chile[[#This Row],[SF6]]-V26,"")</f>
        <v>-4.0670574561403258E-5</v>
      </c>
      <c r="X27" s="13">
        <v>232.89751129999999</v>
      </c>
      <c r="Y27" s="13">
        <f>IFERROR(Todo_Gases_Chile[[#This Row],[SF6 (CO2eq)]]-X26,"")</f>
        <v>-0.92728909999999587</v>
      </c>
      <c r="Z27" s="17">
        <f>(Todo_Gases_Chile[[#This Row],[SF6 (CO2eq)]]/Todo_Gases_Chile[[#This Row],[Población]])*1000</f>
        <v>1.309323847595774E-2</v>
      </c>
      <c r="AA27" s="13">
        <f>+Todo_Gases_Chile[[#This Row],[CO2 (CO2eq)]]+Todo_Gases_Chile[[#This Row],[CH4 (CO2eq)]]+Todo_Gases_Chile[[#This Row],[N2O (CO2eq)]]+Todo_Gases_Chile[[#This Row],[HFC (CO2eq)]]+Todo_Gases_Chile[[#This Row],[SF6 (CO2eq)]]</f>
        <v>45751.527766673993</v>
      </c>
      <c r="AB27" s="13">
        <f>IFERROR(Todo_Gases_Chile[[#This Row],[CO2eq]]-AA26,"")</f>
        <v>13334.671141070794</v>
      </c>
      <c r="AC27" s="16">
        <f>(Todo_Gases_Chile[[#This Row],[CO2eq]]/Todo_Gases_Chile[[#This Row],[Población]])*1000</f>
        <v>2.5720998921144971</v>
      </c>
      <c r="AD27" s="13">
        <v>17787617</v>
      </c>
      <c r="AE27" s="22"/>
      <c r="AF27" s="22"/>
      <c r="AG27" s="5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x14ac:dyDescent="0.25">
      <c r="A28" s="2">
        <v>2015</v>
      </c>
      <c r="B28" s="13">
        <v>38428.699702354003</v>
      </c>
      <c r="C28" s="13">
        <v>38428.699702354003</v>
      </c>
      <c r="D28" s="13">
        <f>IFERROR(Todo_Gases_Chile[[#This Row],[CO2]]-B27,"")</f>
        <v>16804.235432580004</v>
      </c>
      <c r="E28" s="13">
        <f>IFERROR(Todo_Gases_Chile[[#This Row],[CO2 (CO2eq)]]-C27,"")</f>
        <v>16804.235432580004</v>
      </c>
      <c r="F28" s="16">
        <f>(Todo_Gases_Chile[[#This Row],[CO2]]/Todo_Gases_Chile[[#This Row],[Población]])*1000</f>
        <v>2.1383225859384645</v>
      </c>
      <c r="G28" s="13">
        <v>587.38935570000001</v>
      </c>
      <c r="H28" s="13">
        <f>Todo_Gases_Chile[[#This Row],[CH4]]*25</f>
        <v>14684.7338925</v>
      </c>
      <c r="I28" s="13">
        <f>IFERROR(Todo_Gases_Chile[[#This Row],[CH4]]-G27,"")</f>
        <v>12.377413199999978</v>
      </c>
      <c r="J28" s="13">
        <f>IFERROR(Todo_Gases_Chile[[#This Row],[Variación CH4]]*25,"")</f>
        <v>309.43532999999945</v>
      </c>
      <c r="K28" s="16">
        <f>(Todo_Gases_Chile[[#This Row],[CH4 (CO2eq)]]/Todo_Gases_Chile[[#This Row],[Población]])*1000</f>
        <v>0.81711581172509273</v>
      </c>
      <c r="L28" s="13">
        <v>24.585318000000001</v>
      </c>
      <c r="M28" s="13">
        <f>Todo_Gases_Chile[[#This Row],[N2O]]*298</f>
        <v>7326.4247640000003</v>
      </c>
      <c r="N28" s="13">
        <f>IFERROR(Todo_Gases_Chile[[#This Row],[N2O]]-L27,"")</f>
        <v>0.48634649999999979</v>
      </c>
      <c r="O28" s="13">
        <f>IFERROR(Todo_Gases_Chile[[#This Row],[Variación N2O]]*298,"")</f>
        <v>144.93125699999993</v>
      </c>
      <c r="P28" s="16">
        <f>(Todo_Gases_Chile[[#This Row],[N2O (CO2eq)]]/Todo_Gases_Chile[[#This Row],[Población]])*1000</f>
        <v>0.40767082072465827</v>
      </c>
      <c r="Q28" s="16">
        <f>+Todo_Gases_Chile[[#This Row],[HFC (CO2eq)]]/7400</f>
        <v>0.3498322768648649</v>
      </c>
      <c r="R28" s="13">
        <f>IFERROR(Todo_Gases_Chile[[#This Row],[HFC]]-Q27,"")</f>
        <v>3.3970936851351385E-2</v>
      </c>
      <c r="S28" s="13">
        <v>2588.7588488000001</v>
      </c>
      <c r="T28" s="13">
        <f>IFERROR(Todo_Gases_Chile[[#This Row],[HFC (CO2eq)]]-S27,"")</f>
        <v>251.38493270000026</v>
      </c>
      <c r="U28" s="17">
        <f>(Todo_Gases_Chile[[#This Row],[HFC (CO2eq)]]/Todo_Gases_Chile[[#This Row],[Población]])*1000</f>
        <v>0.14404862924878015</v>
      </c>
      <c r="V28" s="17">
        <f>+Todo_Gases_Chile[[#This Row],[SF6 (CO2eq)]]/22800</f>
        <v>1.0628323653508772E-2</v>
      </c>
      <c r="W28" s="17">
        <f>IFERROR(Todo_Gases_Chile[[#This Row],[SF6]]-V27,"")</f>
        <v>4.1352052631579012E-4</v>
      </c>
      <c r="X28" s="13">
        <v>242.32577929999999</v>
      </c>
      <c r="Y28" s="13">
        <f>IFERROR(Todo_Gases_Chile[[#This Row],[SF6 (CO2eq)]]-X27,"")</f>
        <v>9.4282680000000028</v>
      </c>
      <c r="Z28" s="17">
        <f>(Todo_Gases_Chile[[#This Row],[SF6 (CO2eq)]]/Todo_Gases_Chile[[#This Row],[Población]])*1000</f>
        <v>1.3483950564181812E-2</v>
      </c>
      <c r="AA28" s="13">
        <f>+Todo_Gases_Chile[[#This Row],[CO2 (CO2eq)]]+Todo_Gases_Chile[[#This Row],[CH4 (CO2eq)]]+Todo_Gases_Chile[[#This Row],[N2O (CO2eq)]]+Todo_Gases_Chile[[#This Row],[HFC (CO2eq)]]+Todo_Gases_Chile[[#This Row],[SF6 (CO2eq)]]</f>
        <v>63270.942986954011</v>
      </c>
      <c r="AB28" s="13">
        <f>IFERROR(Todo_Gases_Chile[[#This Row],[CO2eq]]-AA27,"")</f>
        <v>17519.415220280018</v>
      </c>
      <c r="AC28" s="16">
        <f>(Todo_Gases_Chile[[#This Row],[CO2eq]]/Todo_Gases_Chile[[#This Row],[Población]])*1000</f>
        <v>3.520641798201178</v>
      </c>
      <c r="AD28" s="13">
        <v>17971423</v>
      </c>
      <c r="AE28" s="22"/>
      <c r="AF28" s="22"/>
      <c r="AG28" s="5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x14ac:dyDescent="0.25">
      <c r="A29" s="2">
        <v>2016</v>
      </c>
      <c r="B29" s="13">
        <v>22186.386071189001</v>
      </c>
      <c r="C29" s="15">
        <v>22186.386071189001</v>
      </c>
      <c r="D29" s="13">
        <f>IFERROR(Todo_Gases_Chile[[#This Row],[CO2]]-B28,"")</f>
        <v>-16242.313631165001</v>
      </c>
      <c r="E29" s="13">
        <f>IFERROR(Todo_Gases_Chile[[#This Row],[CO2 (CO2eq)]]-C28,"")</f>
        <v>-16242.313631165001</v>
      </c>
      <c r="F29" s="16">
        <f>(Todo_Gases_Chile[[#This Row],[CO2]]/Todo_Gases_Chile[[#This Row],[Población]])*1000</f>
        <v>1.2212366681014359</v>
      </c>
      <c r="G29" s="13">
        <v>562.57057999999995</v>
      </c>
      <c r="H29" s="15">
        <f>Todo_Gases_Chile[[#This Row],[CH4]]*25</f>
        <v>14064.264499999999</v>
      </c>
      <c r="I29" s="13">
        <f>IFERROR(Todo_Gases_Chile[[#This Row],[CH4]]-G28,"")</f>
        <v>-24.81877570000006</v>
      </c>
      <c r="J29" s="13">
        <f>IFERROR(Todo_Gases_Chile[[#This Row],[Variación CH4]]*25,"")</f>
        <v>-620.4693925000015</v>
      </c>
      <c r="K29" s="16">
        <f>(Todo_Gases_Chile[[#This Row],[CH4 (CO2eq)]]/Todo_Gases_Chile[[#This Row],[Población]])*1000</f>
        <v>0.77415922819361782</v>
      </c>
      <c r="L29" s="13">
        <v>22.794615799999999</v>
      </c>
      <c r="M29" s="15">
        <f>Todo_Gases_Chile[[#This Row],[N2O]]*298</f>
        <v>6792.7955083999996</v>
      </c>
      <c r="N29" s="13">
        <f>IFERROR(Todo_Gases_Chile[[#This Row],[N2O]]-L28,"")</f>
        <v>-1.7907022000000019</v>
      </c>
      <c r="O29" s="13">
        <f>IFERROR(Todo_Gases_Chile[[#This Row],[Variación N2O]]*298,"")</f>
        <v>-533.62925560000053</v>
      </c>
      <c r="P29" s="16">
        <f>(Todo_Gases_Chile[[#This Row],[N2O (CO2eq)]]/Todo_Gases_Chile[[#This Row],[Población]])*1000</f>
        <v>0.37390546288858673</v>
      </c>
      <c r="Q29" s="16">
        <f>+Todo_Gases_Chile[[#This Row],[HFC (CO2eq)]]/7400</f>
        <v>0.38776492477027025</v>
      </c>
      <c r="R29" s="13">
        <f>IFERROR(Todo_Gases_Chile[[#This Row],[HFC]]-Q28,"")</f>
        <v>3.7932647905405348E-2</v>
      </c>
      <c r="S29" s="15">
        <v>2869.4604433</v>
      </c>
      <c r="T29" s="13">
        <f>IFERROR(Todo_Gases_Chile[[#This Row],[HFC (CO2eq)]]-S28,"")</f>
        <v>280.70159449999983</v>
      </c>
      <c r="U29" s="17">
        <f>(Todo_Gases_Chile[[#This Row],[HFC (CO2eq)]]/Todo_Gases_Chile[[#This Row],[Población]])*1000</f>
        <v>0.15794777481021097</v>
      </c>
      <c r="V29" s="17">
        <f>+Todo_Gases_Chile[[#This Row],[SF6 (CO2eq)]]/22800</f>
        <v>1.1941599671052631E-2</v>
      </c>
      <c r="W29" s="17">
        <f>IFERROR(Todo_Gases_Chile[[#This Row],[SF6]]-V28,"")</f>
        <v>1.3132760175438591E-3</v>
      </c>
      <c r="X29" s="15">
        <v>272.26847249999997</v>
      </c>
      <c r="Y29" s="13">
        <f>IFERROR(Todo_Gases_Chile[[#This Row],[SF6 (CO2eq)]]-X28,"")</f>
        <v>29.942693199999979</v>
      </c>
      <c r="Z29" s="17">
        <f>(Todo_Gases_Chile[[#This Row],[SF6 (CO2eq)]]/Todo_Gases_Chile[[#This Row],[Población]])*1000</f>
        <v>1.4986859108917871E-2</v>
      </c>
      <c r="AA29" s="13">
        <f>+Todo_Gases_Chile[[#This Row],[CO2 (CO2eq)]]+Todo_Gases_Chile[[#This Row],[CH4 (CO2eq)]]+Todo_Gases_Chile[[#This Row],[N2O (CO2eq)]]+Todo_Gases_Chile[[#This Row],[HFC (CO2eq)]]+Todo_Gases_Chile[[#This Row],[SF6 (CO2eq)]]</f>
        <v>46185.174995388996</v>
      </c>
      <c r="AB29" s="13">
        <f>IFERROR(Todo_Gases_Chile[[#This Row],[CO2eq]]-AA28,"")</f>
        <v>-17085.767991565015</v>
      </c>
      <c r="AC29" s="16">
        <f>(Todo_Gases_Chile[[#This Row],[CO2eq]]/Todo_Gases_Chile[[#This Row],[Población]])*1000</f>
        <v>2.5422359931027692</v>
      </c>
      <c r="AD29" s="13">
        <v>18167147</v>
      </c>
      <c r="AE29" s="22"/>
      <c r="AF29" s="22"/>
      <c r="AG29" s="5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x14ac:dyDescent="0.25"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x14ac:dyDescent="0.25"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x14ac:dyDescent="0.25"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33:54" x14ac:dyDescent="0.25"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33:54" x14ac:dyDescent="0.25"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33:54" x14ac:dyDescent="0.25"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33:54" x14ac:dyDescent="0.25"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33:54" x14ac:dyDescent="0.25"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33:54" x14ac:dyDescent="0.25"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33:54" x14ac:dyDescent="0.25"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33:54" x14ac:dyDescent="0.25"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33:54" x14ac:dyDescent="0.25"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33:54" x14ac:dyDescent="0.25"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33:54" x14ac:dyDescent="0.25"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33:54" x14ac:dyDescent="0.25"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33:54" x14ac:dyDescent="0.25"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33:54" x14ac:dyDescent="0.25"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33:54" x14ac:dyDescent="0.25"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33:54" x14ac:dyDescent="0.25"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33:54" x14ac:dyDescent="0.25"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</sheetData>
  <phoneticPr fontId="20" type="noConversion"/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5837-4B4E-4D6B-ABB0-51A8634DA801}">
  <dimension ref="A1:AI29"/>
  <sheetViews>
    <sheetView tabSelected="1" topLeftCell="U1" workbookViewId="0">
      <pane ySplit="2" topLeftCell="A3" activePane="bottomLeft" state="frozen"/>
      <selection activeCell="M1" sqref="M1"/>
      <selection pane="bottomLeft" activeCell="K36" sqref="K36"/>
    </sheetView>
  </sheetViews>
  <sheetFormatPr baseColWidth="10" defaultColWidth="9.140625" defaultRowHeight="15" x14ac:dyDescent="0.25"/>
  <cols>
    <col min="1" max="1" width="8" style="7" bestFit="1" customWidth="1"/>
    <col min="2" max="4" width="14.7109375" style="7" bestFit="1" customWidth="1"/>
    <col min="5" max="5" width="18.42578125" style="7" customWidth="1"/>
    <col min="6" max="6" width="17" style="7" bestFit="1" customWidth="1"/>
    <col min="7" max="7" width="12.7109375" style="7" customWidth="1"/>
    <col min="8" max="8" width="11.85546875" style="7" bestFit="1" customWidth="1"/>
    <col min="9" max="9" width="10.7109375" style="7" bestFit="1" customWidth="1"/>
    <col min="10" max="11" width="10.7109375" style="7" customWidth="1"/>
    <col min="12" max="12" width="9" style="7" bestFit="1" customWidth="1"/>
    <col min="13" max="13" width="10.42578125" style="7" bestFit="1" customWidth="1"/>
    <col min="14" max="14" width="10.7109375" style="7" bestFit="1" customWidth="1"/>
    <col min="15" max="15" width="12.7109375" style="7" bestFit="1" customWidth="1"/>
    <col min="16" max="16" width="10.7109375" style="7" customWidth="1"/>
    <col min="17" max="17" width="8.42578125" style="7" bestFit="1" customWidth="1"/>
    <col min="18" max="18" width="8.42578125" style="7" customWidth="1"/>
    <col min="19" max="19" width="12" style="7" bestFit="1" customWidth="1"/>
    <col min="20" max="20" width="12.7109375" style="7" bestFit="1" customWidth="1"/>
    <col min="21" max="23" width="12.7109375" style="7" customWidth="1"/>
    <col min="24" max="24" width="10.42578125" style="7" bestFit="1" customWidth="1"/>
    <col min="25" max="25" width="10.7109375" style="7" bestFit="1" customWidth="1"/>
    <col min="26" max="26" width="14.42578125" style="7" bestFit="1" customWidth="1"/>
    <col min="27" max="27" width="10.7109375" style="7" bestFit="1" customWidth="1"/>
    <col min="28" max="28" width="12.7109375" style="7" bestFit="1" customWidth="1"/>
    <col min="29" max="29" width="17.28515625" style="7" customWidth="1"/>
    <col min="30" max="30" width="13.85546875" style="7" customWidth="1"/>
    <col min="31" max="31" width="10.7109375" style="7" bestFit="1" customWidth="1"/>
    <col min="32" max="32" width="11.7109375" style="7" bestFit="1" customWidth="1"/>
    <col min="33" max="33" width="12" style="7" bestFit="1" customWidth="1"/>
    <col min="34" max="34" width="12" style="7" customWidth="1"/>
    <col min="35" max="35" width="10.85546875" style="7" customWidth="1"/>
    <col min="36" max="16384" width="9.140625" style="7"/>
  </cols>
  <sheetData>
    <row r="1" spans="1:35" x14ac:dyDescent="0.25">
      <c r="A1" s="18" t="s">
        <v>26</v>
      </c>
      <c r="B1" s="19"/>
      <c r="C1" s="19"/>
      <c r="D1" s="19"/>
      <c r="E1" s="19"/>
      <c r="F1" s="21" t="s">
        <v>31</v>
      </c>
      <c r="G1" s="21" t="s">
        <v>32</v>
      </c>
      <c r="H1" s="21" t="s">
        <v>31</v>
      </c>
      <c r="I1" s="19"/>
      <c r="J1" s="19"/>
      <c r="K1" s="21" t="s">
        <v>31</v>
      </c>
      <c r="L1" s="21" t="s">
        <v>33</v>
      </c>
      <c r="M1" s="21" t="s">
        <v>31</v>
      </c>
      <c r="N1" s="19"/>
      <c r="O1" s="19"/>
      <c r="P1" s="21" t="s">
        <v>31</v>
      </c>
      <c r="Q1" s="21" t="s">
        <v>34</v>
      </c>
      <c r="S1" s="21" t="s">
        <v>31</v>
      </c>
      <c r="T1" s="19"/>
      <c r="U1" s="21" t="s">
        <v>31</v>
      </c>
      <c r="V1" s="21" t="s">
        <v>35</v>
      </c>
      <c r="X1" s="21" t="s">
        <v>31</v>
      </c>
      <c r="Y1" s="19"/>
      <c r="Z1" s="21" t="s">
        <v>31</v>
      </c>
      <c r="AA1" s="19"/>
    </row>
    <row r="2" spans="1:35" ht="51" x14ac:dyDescent="0.25">
      <c r="A2" s="1" t="s">
        <v>4</v>
      </c>
      <c r="B2" s="8" t="s">
        <v>0</v>
      </c>
      <c r="C2" s="8" t="s">
        <v>16</v>
      </c>
      <c r="D2" s="8" t="s">
        <v>5</v>
      </c>
      <c r="E2" s="8" t="s">
        <v>17</v>
      </c>
      <c r="F2" s="8" t="s">
        <v>10</v>
      </c>
      <c r="G2" s="9" t="s">
        <v>1</v>
      </c>
      <c r="H2" s="9" t="s">
        <v>18</v>
      </c>
      <c r="I2" s="9" t="s">
        <v>6</v>
      </c>
      <c r="J2" s="9" t="s">
        <v>19</v>
      </c>
      <c r="K2" s="9" t="s">
        <v>11</v>
      </c>
      <c r="L2" s="10" t="s">
        <v>2</v>
      </c>
      <c r="M2" s="10" t="s">
        <v>20</v>
      </c>
      <c r="N2" s="10" t="s">
        <v>7</v>
      </c>
      <c r="O2" s="10" t="s">
        <v>21</v>
      </c>
      <c r="P2" s="10" t="s">
        <v>12</v>
      </c>
      <c r="Q2" s="11" t="s">
        <v>27</v>
      </c>
      <c r="R2" s="11" t="s">
        <v>28</v>
      </c>
      <c r="S2" s="11" t="s">
        <v>22</v>
      </c>
      <c r="T2" s="11" t="s">
        <v>23</v>
      </c>
      <c r="U2" s="11" t="s">
        <v>13</v>
      </c>
      <c r="V2" s="12" t="s">
        <v>29</v>
      </c>
      <c r="W2" s="12" t="s">
        <v>30</v>
      </c>
      <c r="X2" s="12" t="s">
        <v>24</v>
      </c>
      <c r="Y2" s="12" t="s">
        <v>25</v>
      </c>
      <c r="Z2" s="12" t="s">
        <v>14</v>
      </c>
      <c r="AA2" s="1" t="s">
        <v>43</v>
      </c>
      <c r="AB2" s="1" t="s">
        <v>42</v>
      </c>
      <c r="AC2" s="1" t="s">
        <v>44</v>
      </c>
      <c r="AD2" s="1" t="s">
        <v>41</v>
      </c>
      <c r="AE2" s="1" t="s">
        <v>9</v>
      </c>
      <c r="AF2" s="23" t="s">
        <v>37</v>
      </c>
      <c r="AG2" s="23" t="s">
        <v>38</v>
      </c>
      <c r="AH2" s="1" t="s">
        <v>45</v>
      </c>
      <c r="AI2" s="23" t="s">
        <v>40</v>
      </c>
    </row>
    <row r="3" spans="1:35" x14ac:dyDescent="0.25">
      <c r="A3" s="2">
        <v>1990</v>
      </c>
      <c r="B3" s="13">
        <f>'Ark1'!B3*1000</f>
        <v>-16787595.765099999</v>
      </c>
      <c r="C3" s="13">
        <f>'Ark1'!C3*1000</f>
        <v>-16787595.765099999</v>
      </c>
      <c r="D3" s="13" t="str">
        <f>IFERROR(Todo_Gases_Chile_ton[[#This Row],[CO2]]-B2,"")</f>
        <v/>
      </c>
      <c r="E3" s="13" t="str">
        <f>IFERROR(Todo_Gases_Chile_ton[[#This Row],[CO2 (CO2eq)]]-C2,"")</f>
        <v/>
      </c>
      <c r="F3" s="16">
        <f>(Todo_Gases_Chile_ton[[#This Row],[CO2]]/Todo_Gases_Chile_ton[[#This Row],[Población]])</f>
        <v>-1.2738140803626981</v>
      </c>
      <c r="G3" s="13">
        <f>'Ark1'!G3*1000</f>
        <v>520996.56969999999</v>
      </c>
      <c r="H3" s="13">
        <f>Todo_Gases_Chile_ton[[#This Row],[CH4]]*25</f>
        <v>13024914.2425</v>
      </c>
      <c r="I3" s="13" t="str">
        <f>IFERROR(Todo_Gases_Chile_ton[[#This Row],[CH4]]-G2,"")</f>
        <v/>
      </c>
      <c r="J3" s="13" t="str">
        <f>IFERROR(Todo_Gases_Chile_ton[[#This Row],[Variación CH4]]*25,"")</f>
        <v/>
      </c>
      <c r="K3" s="16">
        <f>(Todo_Gases_Chile_ton[[#This Row],[CH4 (CO2eq)]]/Todo_Gases_Chile_ton[[#This Row],[Población]])</f>
        <v>0.98830823601942486</v>
      </c>
      <c r="L3" s="13">
        <f>'Ark1'!L3*1000</f>
        <v>18980.939999999999</v>
      </c>
      <c r="M3" s="13">
        <f>Todo_Gases_Chile_ton[[#This Row],[N2O]]*298</f>
        <v>5656320.1199999992</v>
      </c>
      <c r="N3" s="13" t="str">
        <f>IFERROR(Todo_Gases_Chile_ton[[#This Row],[N2O]]-L2,"")</f>
        <v/>
      </c>
      <c r="O3" s="13" t="str">
        <f>IFERROR(Todo_Gases_Chile_ton[[#This Row],[Variación N2O]]*298,"")</f>
        <v/>
      </c>
      <c r="P3" s="16">
        <f>(Todo_Gases_Chile_ton[[#This Row],[N2O (CO2eq)]]/Todo_Gases_Chile_ton[[#This Row],[Población]])</f>
        <v>0.42919190530389251</v>
      </c>
      <c r="Q3" s="13">
        <f>'Ark1'!Q3*1000</f>
        <v>0</v>
      </c>
      <c r="R3" s="13" t="str">
        <f>IFERROR(Todo_Gases_Chile_ton[[#This Row],[HFC]]-Q2,"")</f>
        <v/>
      </c>
      <c r="S3" s="13">
        <f>'Ark1'!S3*1000</f>
        <v>0</v>
      </c>
      <c r="T3" s="13" t="str">
        <f>IFERROR(Todo_Gases_Chile_ton[[#This Row],[HFC (CO2eq)]]-S2,"")</f>
        <v/>
      </c>
      <c r="U3" s="17">
        <f>(Todo_Gases_Chile_ton[[#This Row],[HFC (CO2eq)]]/Todo_Gases_Chile_ton[[#This Row],[Población]])</f>
        <v>0</v>
      </c>
      <c r="V3" s="14">
        <f>'Ark1'!V3*1000</f>
        <v>2.6898428026315795</v>
      </c>
      <c r="W3" s="17" t="str">
        <f>IFERROR(Todo_Gases_Chile_ton[[#This Row],[SF6]]-V2,"")</f>
        <v/>
      </c>
      <c r="X3" s="13">
        <f>'Ark1'!X3*1000</f>
        <v>61328.4159</v>
      </c>
      <c r="Y3" s="13" t="str">
        <f>IFERROR(Todo_Gases_Chile_ton[[#This Row],[SF6 (CO2eq)]]-X2,"")</f>
        <v/>
      </c>
      <c r="Z3" s="17">
        <f>(Todo_Gases_Chile_ton[[#This Row],[SF6 (CO2eq)]]/Todo_Gases_Chile_ton[[#This Row],[Población]])</f>
        <v>4.6534954017755517E-3</v>
      </c>
      <c r="AA3" s="13">
        <f>+Todo_Gases_Chile_ton[[#This Row],[CO2 (CO2eq)]]+Todo_Gases_Chile_ton[[#This Row],[CH4 (CO2eq)]]+Todo_Gases_Chile_ton[[#This Row],[N2O (CO2eq)]]+Todo_Gases_Chile_ton[[#This Row],[HFC (CO2eq)]]+Todo_Gases_Chile_ton[[#This Row],[SF6 (CO2eq)]]</f>
        <v>1954967.0133000002</v>
      </c>
      <c r="AB3" s="13" t="str">
        <f>IFERROR(Todo_Gases_Chile_ton[[#This Row],[ton netas CO2eq]]-AA2,"")</f>
        <v/>
      </c>
      <c r="AC3" s="17" t="str">
        <f>+IFERROR(Todo_Gases_Chile_ton[[#This Row],[Variación ton CO2eq]]/AA2,"")</f>
        <v/>
      </c>
      <c r="AD3" s="16">
        <f>(Todo_Gases_Chile_ton[[#This Row],[ton netas CO2eq]]/Todo_Gases_Chile_ton[[#This Row],[Población]])</f>
        <v>0.14833955636239474</v>
      </c>
      <c r="AE3" s="13">
        <v>13179000</v>
      </c>
      <c r="AF3" s="24">
        <v>52015932.298599996</v>
      </c>
      <c r="AG3" s="24" t="str">
        <f>+IFERROR(Todo_Gases_Chile_ton[[#This Row],[CO2e Total]]-AF2,"")</f>
        <v/>
      </c>
      <c r="AH3" s="26" t="str">
        <f>+IFERROR(Todo_Gases_Chile_ton[[#This Row],[Variación CO2eq total]]/AF2,"")</f>
        <v/>
      </c>
      <c r="AI3" s="25">
        <f>+Todo_Gases_Chile_ton[[#This Row],[CO2e Total]]/Todo_Gases_Chile_ton[[#This Row],[Población]]</f>
        <v>3.9468800590788371</v>
      </c>
    </row>
    <row r="4" spans="1:35" x14ac:dyDescent="0.25">
      <c r="A4" s="2">
        <v>1991</v>
      </c>
      <c r="B4" s="13">
        <f>'Ark1'!B4*1000</f>
        <v>-14190878.567396</v>
      </c>
      <c r="C4" s="13">
        <f>'Ark1'!C4*1000</f>
        <v>-14190878.567396</v>
      </c>
      <c r="D4" s="13">
        <f>IFERROR(Todo_Gases_Chile_ton[[#This Row],[CO2]]-B3,"")</f>
        <v>2596717.1977039985</v>
      </c>
      <c r="E4" s="13">
        <f>IFERROR(Todo_Gases_Chile_ton[[#This Row],[CO2 (CO2eq)]]-C3,"")</f>
        <v>2596717.1977039985</v>
      </c>
      <c r="F4" s="16">
        <f>(Todo_Gases_Chile_ton[[#This Row],[CO2]]/Todo_Gases_Chile_ton[[#This Row],[Población]])</f>
        <v>-1.0572849476528088</v>
      </c>
      <c r="G4" s="13">
        <f>'Ark1'!G4*1000</f>
        <v>516096.34559999994</v>
      </c>
      <c r="H4" s="15">
        <f>Todo_Gases_Chile_ton[[#This Row],[CH4]]*25</f>
        <v>12902408.639999999</v>
      </c>
      <c r="I4" s="13">
        <f>IFERROR(Todo_Gases_Chile_ton[[#This Row],[CH4]]-G3,"")</f>
        <v>-4900.2241000000504</v>
      </c>
      <c r="J4" s="13">
        <f>IFERROR(Todo_Gases_Chile_ton[[#This Row],[Variación CH4]]*25,"")</f>
        <v>-122505.60250000126</v>
      </c>
      <c r="K4" s="16">
        <f>(Todo_Gases_Chile_ton[[#This Row],[CH4 (CO2eq)]]/Todo_Gases_Chile_ton[[#This Row],[Población]])</f>
        <v>0.96128808225301732</v>
      </c>
      <c r="L4" s="13">
        <f>'Ark1'!L4*1000</f>
        <v>19154.969399999998</v>
      </c>
      <c r="M4" s="15">
        <f>Todo_Gases_Chile_ton[[#This Row],[N2O]]*298</f>
        <v>5708180.8811999997</v>
      </c>
      <c r="N4" s="13">
        <f>IFERROR(Todo_Gases_Chile_ton[[#This Row],[N2O]]-L3,"")</f>
        <v>174.02939999999944</v>
      </c>
      <c r="O4" s="13">
        <f>IFERROR(Todo_Gases_Chile_ton[[#This Row],[Variación N2O]]*298,"")</f>
        <v>51860.761199999833</v>
      </c>
      <c r="P4" s="16">
        <f>(Todo_Gases_Chile_ton[[#This Row],[N2O (CO2eq)]]/Todo_Gases_Chile_ton[[#This Row],[Población]])</f>
        <v>0.42528541805990161</v>
      </c>
      <c r="Q4" s="13">
        <f>'Ark1'!Q4*1000</f>
        <v>0</v>
      </c>
      <c r="R4" s="13">
        <f>IFERROR(Todo_Gases_Chile_ton[[#This Row],[HFC]]-Q3,"")</f>
        <v>0</v>
      </c>
      <c r="S4" s="13">
        <f>'Ark1'!S4*1000</f>
        <v>0</v>
      </c>
      <c r="T4" s="13">
        <f>IFERROR(Todo_Gases_Chile_ton[[#This Row],[HFC (CO2eq)]]-S3,"")</f>
        <v>0</v>
      </c>
      <c r="U4" s="17">
        <f>(Todo_Gases_Chile_ton[[#This Row],[HFC (CO2eq)]]/Todo_Gases_Chile_ton[[#This Row],[Población]])</f>
        <v>0</v>
      </c>
      <c r="V4" s="14">
        <f>'Ark1'!V4*1000</f>
        <v>1.9188581973684209</v>
      </c>
      <c r="W4" s="17">
        <f>IFERROR(Todo_Gases_Chile_ton[[#This Row],[SF6]]-V3,"")</f>
        <v>-0.7709846052631586</v>
      </c>
      <c r="X4" s="13">
        <f>'Ark1'!X4*1000</f>
        <v>43749.966899999999</v>
      </c>
      <c r="Y4" s="13">
        <f>IFERROR(Todo_Gases_Chile_ton[[#This Row],[SF6 (CO2eq)]]-X3,"")</f>
        <v>-17578.449000000001</v>
      </c>
      <c r="Z4" s="17">
        <f>(Todo_Gases_Chile_ton[[#This Row],[SF6 (CO2eq)]]/Todo_Gases_Chile_ton[[#This Row],[Población]])</f>
        <v>3.2595713679034423E-3</v>
      </c>
      <c r="AA4" s="13">
        <f>+Todo_Gases_Chile_ton[[#This Row],[CO2 (CO2eq)]]+Todo_Gases_Chile_ton[[#This Row],[CH4 (CO2eq)]]+Todo_Gases_Chile_ton[[#This Row],[N2O (CO2eq)]]+Todo_Gases_Chile_ton[[#This Row],[HFC (CO2eq)]]+Todo_Gases_Chile_ton[[#This Row],[SF6 (CO2eq)]]</f>
        <v>4463460.9207039988</v>
      </c>
      <c r="AB4" s="13">
        <f>IFERROR(Todo_Gases_Chile_ton[[#This Row],[ton netas CO2eq]]-AA3,"")</f>
        <v>2508493.9074039985</v>
      </c>
      <c r="AC4" s="17">
        <f>+IFERROR(Todo_Gases_Chile_ton[[#This Row],[Variación ton CO2eq]]/AA3,"")</f>
        <v>1.2831387385762794</v>
      </c>
      <c r="AD4" s="16">
        <f>(Todo_Gases_Chile_ton[[#This Row],[ton netas CO2eq]]/Todo_Gases_Chile_ton[[#This Row],[Población]])</f>
        <v>0.33254812402801359</v>
      </c>
      <c r="AE4" s="13">
        <v>13422000</v>
      </c>
      <c r="AF4" s="24">
        <v>50681025.822804302</v>
      </c>
      <c r="AG4" s="24">
        <f>+IFERROR(Todo_Gases_Chile_ton[[#This Row],[CO2e Total]]-AF3,"")</f>
        <v>-1334906.4757956937</v>
      </c>
      <c r="AH4" s="26">
        <f>+IFERROR(Todo_Gases_Chile_ton[[#This Row],[Variación CO2eq total]]/AF3,"")</f>
        <v>-2.5663415357675374E-2</v>
      </c>
      <c r="AI4" s="25">
        <f>+Todo_Gases_Chile_ton[[#This Row],[CO2e Total]]/Todo_Gases_Chile_ton[[#This Row],[Población]]</f>
        <v>3.7759667577711444</v>
      </c>
    </row>
    <row r="5" spans="1:35" x14ac:dyDescent="0.25">
      <c r="A5" s="2">
        <v>1992</v>
      </c>
      <c r="B5" s="13">
        <f>'Ark1'!B5*1000</f>
        <v>-15574397.771365</v>
      </c>
      <c r="C5" s="13">
        <f>'Ark1'!C5*1000</f>
        <v>-15574397.771365</v>
      </c>
      <c r="D5" s="13">
        <f>IFERROR(Todo_Gases_Chile_ton[[#This Row],[CO2]]-B4,"")</f>
        <v>-1383519.2039689999</v>
      </c>
      <c r="E5" s="13">
        <f>IFERROR(Todo_Gases_Chile_ton[[#This Row],[CO2 (CO2eq)]]-C4,"")</f>
        <v>-1383519.2039689999</v>
      </c>
      <c r="F5" s="16">
        <f>(Todo_Gases_Chile_ton[[#This Row],[CO2]]/Todo_Gases_Chile_ton[[#This Row],[Población]])</f>
        <v>-1.1337502714455974</v>
      </c>
      <c r="G5" s="13">
        <f>'Ark1'!G5*1000</f>
        <v>517104.83680000005</v>
      </c>
      <c r="H5" s="13">
        <f>Todo_Gases_Chile_ton[[#This Row],[CH4]]*25</f>
        <v>12927620.920000002</v>
      </c>
      <c r="I5" s="13">
        <f>IFERROR(Todo_Gases_Chile_ton[[#This Row],[CH4]]-G4,"")</f>
        <v>1008.4912000001059</v>
      </c>
      <c r="J5" s="13">
        <f>IFERROR(Todo_Gases_Chile_ton[[#This Row],[Variación CH4]]*25,"")</f>
        <v>25212.280000002647</v>
      </c>
      <c r="K5" s="16">
        <f>(Todo_Gases_Chile_ton[[#This Row],[CH4 (CO2eq)]]/Todo_Gases_Chile_ton[[#This Row],[Población]])</f>
        <v>0.94107611365516164</v>
      </c>
      <c r="L5" s="13">
        <f>'Ark1'!L5*1000</f>
        <v>19649.275700000002</v>
      </c>
      <c r="M5" s="13">
        <f>Todo_Gases_Chile_ton[[#This Row],[N2O]]*298</f>
        <v>5855484.1586000007</v>
      </c>
      <c r="N5" s="13">
        <f>IFERROR(Todo_Gases_Chile_ton[[#This Row],[N2O]]-L4,"")</f>
        <v>494.30630000000383</v>
      </c>
      <c r="O5" s="13">
        <f>IFERROR(Todo_Gases_Chile_ton[[#This Row],[Variación N2O]]*298,"")</f>
        <v>147303.27740000113</v>
      </c>
      <c r="P5" s="16">
        <f>(Todo_Gases_Chile_ton[[#This Row],[N2O (CO2eq)]]/Todo_Gases_Chile_ton[[#This Row],[Población]])</f>
        <v>0.42625447556398893</v>
      </c>
      <c r="Q5" s="13">
        <f>'Ark1'!Q5*1000</f>
        <v>0</v>
      </c>
      <c r="R5" s="13">
        <f>IFERROR(Todo_Gases_Chile_ton[[#This Row],[HFC]]-Q4,"")</f>
        <v>0</v>
      </c>
      <c r="S5" s="13">
        <f>'Ark1'!S5*1000</f>
        <v>0</v>
      </c>
      <c r="T5" s="13">
        <f>IFERROR(Todo_Gases_Chile_ton[[#This Row],[HFC (CO2eq)]]-S4,"")</f>
        <v>0</v>
      </c>
      <c r="U5" s="17">
        <f>(Todo_Gases_Chile_ton[[#This Row],[HFC (CO2eq)]]/Todo_Gases_Chile_ton[[#This Row],[Población]])</f>
        <v>0</v>
      </c>
      <c r="V5" s="14">
        <f>'Ark1'!V5*1000</f>
        <v>2.1653581973684211</v>
      </c>
      <c r="W5" s="17">
        <f>IFERROR(Todo_Gases_Chile_ton[[#This Row],[SF6]]-V4,"")</f>
        <v>0.24650000000000016</v>
      </c>
      <c r="X5" s="13">
        <f>'Ark1'!X5*1000</f>
        <v>49370.166900000004</v>
      </c>
      <c r="Y5" s="13">
        <f>IFERROR(Todo_Gases_Chile_ton[[#This Row],[SF6 (CO2eq)]]-X4,"")</f>
        <v>5620.2000000000044</v>
      </c>
      <c r="Z5" s="17">
        <f>(Todo_Gases_Chile_ton[[#This Row],[SF6 (CO2eq)]]/Todo_Gases_Chile_ton[[#This Row],[Población]])</f>
        <v>3.5939392935694695E-3</v>
      </c>
      <c r="AA5" s="13">
        <f>+Todo_Gases_Chile_ton[[#This Row],[CO2 (CO2eq)]]+Todo_Gases_Chile_ton[[#This Row],[CH4 (CO2eq)]]+Todo_Gases_Chile_ton[[#This Row],[N2O (CO2eq)]]+Todo_Gases_Chile_ton[[#This Row],[HFC (CO2eq)]]+Todo_Gases_Chile_ton[[#This Row],[SF6 (CO2eq)]]</f>
        <v>3258077.4741350026</v>
      </c>
      <c r="AB5" s="13">
        <f>IFERROR(Todo_Gases_Chile_ton[[#This Row],[ton netas CO2eq]]-AA4,"")</f>
        <v>-1205383.4465689962</v>
      </c>
      <c r="AC5" s="17">
        <f>+IFERROR(Todo_Gases_Chile_ton[[#This Row],[Variación ton CO2eq]]/AA4,"")</f>
        <v>-0.2700557858539237</v>
      </c>
      <c r="AD5" s="16">
        <f>(Todo_Gases_Chile_ton[[#This Row],[ton netas CO2eq]]/Todo_Gases_Chile_ton[[#This Row],[Población]])</f>
        <v>0.2371742570671227</v>
      </c>
      <c r="AE5" s="13">
        <v>13737062</v>
      </c>
      <c r="AF5" s="24">
        <v>52578967.374634802</v>
      </c>
      <c r="AG5" s="24">
        <f>+IFERROR(Todo_Gases_Chile_ton[[#This Row],[CO2e Total]]-AF4,"")</f>
        <v>1897941.5518305004</v>
      </c>
      <c r="AH5" s="26">
        <f>+IFERROR(Todo_Gases_Chile_ton[[#This Row],[Variación CO2eq total]]/AF4,"")</f>
        <v>3.7448759590349642E-2</v>
      </c>
      <c r="AI5" s="25">
        <f>+Todo_Gases_Chile_ton[[#This Row],[CO2e Total]]/Todo_Gases_Chile_ton[[#This Row],[Población]]</f>
        <v>3.8275263935355901</v>
      </c>
    </row>
    <row r="6" spans="1:35" x14ac:dyDescent="0.25">
      <c r="A6" s="2">
        <v>1993</v>
      </c>
      <c r="B6" s="13">
        <f>'Ark1'!B6*1000</f>
        <v>-13240896.453304</v>
      </c>
      <c r="C6" s="13">
        <f>'Ark1'!C6*1000</f>
        <v>-13240896.453304</v>
      </c>
      <c r="D6" s="13">
        <f>IFERROR(Todo_Gases_Chile_ton[[#This Row],[CO2]]-B5,"")</f>
        <v>2333501.3180609997</v>
      </c>
      <c r="E6" s="13">
        <f>IFERROR(Todo_Gases_Chile_ton[[#This Row],[CO2 (CO2eq)]]-C5,"")</f>
        <v>2333501.3180609997</v>
      </c>
      <c r="F6" s="16">
        <f>(Todo_Gases_Chile_ton[[#This Row],[CO2]]/Todo_Gases_Chile_ton[[#This Row],[Población]])</f>
        <v>-0.94870806412488395</v>
      </c>
      <c r="G6" s="13">
        <f>'Ark1'!G6*1000</f>
        <v>528879.72620000003</v>
      </c>
      <c r="H6" s="13">
        <f>Todo_Gases_Chile_ton[[#This Row],[CH4]]*25</f>
        <v>13221993.155000001</v>
      </c>
      <c r="I6" s="13">
        <f>IFERROR(Todo_Gases_Chile_ton[[#This Row],[CH4]]-G5,"")</f>
        <v>11774.889399999985</v>
      </c>
      <c r="J6" s="13">
        <f>IFERROR(Todo_Gases_Chile_ton[[#This Row],[Variación CH4]]*25,"")</f>
        <v>294372.23499999964</v>
      </c>
      <c r="K6" s="16">
        <f>(Todo_Gases_Chile_ton[[#This Row],[CH4 (CO2eq)]]/Todo_Gases_Chile_ton[[#This Row],[Población]])</f>
        <v>0.94735364589475823</v>
      </c>
      <c r="L6" s="13">
        <f>'Ark1'!L6*1000</f>
        <v>20563.043799999999</v>
      </c>
      <c r="M6" s="13">
        <f>Todo_Gases_Chile_ton[[#This Row],[N2O]]*298</f>
        <v>6127787.0523999995</v>
      </c>
      <c r="N6" s="13">
        <f>IFERROR(Todo_Gases_Chile_ton[[#This Row],[N2O]]-L5,"")</f>
        <v>913.7680999999975</v>
      </c>
      <c r="O6" s="13">
        <f>IFERROR(Todo_Gases_Chile_ton[[#This Row],[Variación N2O]]*298,"")</f>
        <v>272302.89379999926</v>
      </c>
      <c r="P6" s="16">
        <f>(Todo_Gases_Chile_ton[[#This Row],[N2O (CO2eq)]]/Todo_Gases_Chile_ton[[#This Row],[Población]])</f>
        <v>0.43905493954688352</v>
      </c>
      <c r="Q6" s="13">
        <f>'Ark1'!Q6*1000</f>
        <v>0</v>
      </c>
      <c r="R6" s="13">
        <f>IFERROR(Todo_Gases_Chile_ton[[#This Row],[HFC]]-Q5,"")</f>
        <v>0</v>
      </c>
      <c r="S6" s="13">
        <f>'Ark1'!S6*1000</f>
        <v>0</v>
      </c>
      <c r="T6" s="13">
        <f>IFERROR(Todo_Gases_Chile_ton[[#This Row],[HFC (CO2eq)]]-S5,"")</f>
        <v>0</v>
      </c>
      <c r="U6" s="17">
        <f>(Todo_Gases_Chile_ton[[#This Row],[HFC (CO2eq)]]/Todo_Gases_Chile_ton[[#This Row],[Población]])</f>
        <v>0</v>
      </c>
      <c r="V6" s="14">
        <f>'Ark1'!V6*1000</f>
        <v>2.0434574824561405</v>
      </c>
      <c r="W6" s="17">
        <f>IFERROR(Todo_Gases_Chile_ton[[#This Row],[SF6]]-V5,"")</f>
        <v>-0.12190071491228061</v>
      </c>
      <c r="X6" s="13">
        <f>'Ark1'!X6*1000</f>
        <v>46590.830599999994</v>
      </c>
      <c r="Y6" s="13">
        <f>IFERROR(Todo_Gases_Chile_ton[[#This Row],[SF6 (CO2eq)]]-X5,"")</f>
        <v>-2779.3363000000099</v>
      </c>
      <c r="Z6" s="17">
        <f>(Todo_Gases_Chile_ton[[#This Row],[SF6 (CO2eq)]]/Todo_Gases_Chile_ton[[#This Row],[Población]])</f>
        <v>3.338225388317035E-3</v>
      </c>
      <c r="AA6" s="13">
        <f>+Todo_Gases_Chile_ton[[#This Row],[CO2 (CO2eq)]]+Todo_Gases_Chile_ton[[#This Row],[CH4 (CO2eq)]]+Todo_Gases_Chile_ton[[#This Row],[N2O (CO2eq)]]+Todo_Gases_Chile_ton[[#This Row],[HFC (CO2eq)]]+Todo_Gases_Chile_ton[[#This Row],[SF6 (CO2eq)]]</f>
        <v>6155474.5846960004</v>
      </c>
      <c r="AB6" s="13">
        <f>IFERROR(Todo_Gases_Chile_ton[[#This Row],[ton netas CO2eq]]-AA5,"")</f>
        <v>2897397.1105609979</v>
      </c>
      <c r="AC6" s="17">
        <f>+IFERROR(Todo_Gases_Chile_ton[[#This Row],[Variación ton CO2eq]]/AA5,"")</f>
        <v>0.8892965663225173</v>
      </c>
      <c r="AD6" s="16">
        <f>(Todo_Gases_Chile_ton[[#This Row],[ton netas CO2eq]]/Todo_Gases_Chile_ton[[#This Row],[Población]])</f>
        <v>0.44103874670507481</v>
      </c>
      <c r="AE6" s="13">
        <v>13956766</v>
      </c>
      <c r="AF6" s="24">
        <v>55432307.598395608</v>
      </c>
      <c r="AG6" s="24">
        <f>+IFERROR(Todo_Gases_Chile_ton[[#This Row],[CO2e Total]]-AF5,"")</f>
        <v>2853340.223760806</v>
      </c>
      <c r="AH6" s="26">
        <f>+IFERROR(Todo_Gases_Chile_ton[[#This Row],[Variación CO2eq total]]/AF5,"")</f>
        <v>5.4267711334652746E-2</v>
      </c>
      <c r="AI6" s="25">
        <f>+Todo_Gases_Chile_ton[[#This Row],[CO2e Total]]/Todo_Gases_Chile_ton[[#This Row],[Población]]</f>
        <v>3.9717157684234019</v>
      </c>
    </row>
    <row r="7" spans="1:35" x14ac:dyDescent="0.25">
      <c r="A7" s="2">
        <v>1994</v>
      </c>
      <c r="B7" s="13">
        <f>'Ark1'!B7*1000</f>
        <v>-7622339.2398652006</v>
      </c>
      <c r="C7" s="13">
        <f>'Ark1'!C7*1000</f>
        <v>-7622339.2398652006</v>
      </c>
      <c r="D7" s="13">
        <f>IFERROR(Todo_Gases_Chile_ton[[#This Row],[CO2]]-B6,"")</f>
        <v>5618557.2134387996</v>
      </c>
      <c r="E7" s="13">
        <f>IFERROR(Todo_Gases_Chile_ton[[#This Row],[CO2 (CO2eq)]]-C6,"")</f>
        <v>5618557.2134387996</v>
      </c>
      <c r="F7" s="16">
        <f>(Todo_Gases_Chile_ton[[#This Row],[CO2]]/Todo_Gases_Chile_ton[[#This Row],[Población]])</f>
        <v>-0.53785178629233321</v>
      </c>
      <c r="G7" s="13">
        <f>'Ark1'!G7*1000</f>
        <v>547859.09470000002</v>
      </c>
      <c r="H7" s="13">
        <f>Todo_Gases_Chile_ton[[#This Row],[CH4]]*25</f>
        <v>13696477.3675</v>
      </c>
      <c r="I7" s="13">
        <f>IFERROR(Todo_Gases_Chile_ton[[#This Row],[CH4]]-G6,"")</f>
        <v>18979.368499999982</v>
      </c>
      <c r="J7" s="13">
        <f>IFERROR(Todo_Gases_Chile_ton[[#This Row],[Variación CH4]]*25,"")</f>
        <v>474484.21249999956</v>
      </c>
      <c r="K7" s="16">
        <f>(Todo_Gases_Chile_ton[[#This Row],[CH4 (CO2eq)]]/Todo_Gases_Chile_ton[[#This Row],[Población]])</f>
        <v>0.96645853539217008</v>
      </c>
      <c r="L7" s="13">
        <f>'Ark1'!L7*1000</f>
        <v>21297.485399999998</v>
      </c>
      <c r="M7" s="13">
        <f>Todo_Gases_Chile_ton[[#This Row],[N2O]]*298</f>
        <v>6346650.6491999989</v>
      </c>
      <c r="N7" s="13">
        <f>IFERROR(Todo_Gases_Chile_ton[[#This Row],[N2O]]-L6,"")</f>
        <v>734.44159999999829</v>
      </c>
      <c r="O7" s="13">
        <f>IFERROR(Todo_Gases_Chile_ton[[#This Row],[Variación N2O]]*298,"")</f>
        <v>218863.59679999948</v>
      </c>
      <c r="P7" s="16">
        <f>(Todo_Gases_Chile_ton[[#This Row],[N2O (CO2eq)]]/Todo_Gases_Chile_ton[[#This Row],[Población]])</f>
        <v>0.44783593083768125</v>
      </c>
      <c r="Q7" s="13">
        <f>'Ark1'!Q7*1000</f>
        <v>0</v>
      </c>
      <c r="R7" s="13">
        <f>IFERROR(Todo_Gases_Chile_ton[[#This Row],[HFC]]-Q6,"")</f>
        <v>0</v>
      </c>
      <c r="S7" s="13">
        <f>'Ark1'!S7*1000</f>
        <v>0</v>
      </c>
      <c r="T7" s="13">
        <f>IFERROR(Todo_Gases_Chile_ton[[#This Row],[HFC (CO2eq)]]-S6,"")</f>
        <v>0</v>
      </c>
      <c r="U7" s="17">
        <f>(Todo_Gases_Chile_ton[[#This Row],[HFC (CO2eq)]]/Todo_Gases_Chile_ton[[#This Row],[Población]])</f>
        <v>0</v>
      </c>
      <c r="V7" s="14">
        <f>'Ark1'!V7*1000</f>
        <v>3.0633294824561408</v>
      </c>
      <c r="W7" s="17">
        <f>IFERROR(Todo_Gases_Chile_ton[[#This Row],[SF6]]-V6,"")</f>
        <v>1.0198720000000003</v>
      </c>
      <c r="X7" s="13">
        <f>'Ark1'!X7*1000</f>
        <v>69843.912200000006</v>
      </c>
      <c r="Y7" s="13">
        <f>IFERROR(Todo_Gases_Chile_ton[[#This Row],[SF6 (CO2eq)]]-X6,"")</f>
        <v>23253.081600000012</v>
      </c>
      <c r="Z7" s="17">
        <f>(Todo_Gases_Chile_ton[[#This Row],[SF6 (CO2eq)]]/Todo_Gases_Chile_ton[[#This Row],[Población]])</f>
        <v>4.9283653949622995E-3</v>
      </c>
      <c r="AA7" s="13">
        <f>+Todo_Gases_Chile_ton[[#This Row],[CO2 (CO2eq)]]+Todo_Gases_Chile_ton[[#This Row],[CH4 (CO2eq)]]+Todo_Gases_Chile_ton[[#This Row],[N2O (CO2eq)]]+Todo_Gases_Chile_ton[[#This Row],[HFC (CO2eq)]]+Todo_Gases_Chile_ton[[#This Row],[SF6 (CO2eq)]]</f>
        <v>12490632.689034797</v>
      </c>
      <c r="AB7" s="13">
        <f>IFERROR(Todo_Gases_Chile_ton[[#This Row],[ton netas CO2eq]]-AA6,"")</f>
        <v>6335158.1043387968</v>
      </c>
      <c r="AC7" s="17">
        <f>+IFERROR(Todo_Gases_Chile_ton[[#This Row],[Variación ton CO2eq]]/AA6,"")</f>
        <v>1.0291908474595173</v>
      </c>
      <c r="AD7" s="16">
        <f>(Todo_Gases_Chile_ton[[#This Row],[ton netas CO2eq]]/Todo_Gases_Chile_ton[[#This Row],[Población]])</f>
        <v>0.88137104533248034</v>
      </c>
      <c r="AE7" s="13">
        <v>14171821</v>
      </c>
      <c r="AF7" s="24">
        <v>58349097.161734805</v>
      </c>
      <c r="AG7" s="24">
        <f>+IFERROR(Todo_Gases_Chile_ton[[#This Row],[CO2e Total]]-AF6,"")</f>
        <v>2916789.5633391961</v>
      </c>
      <c r="AH7" s="26">
        <f>+IFERROR(Todo_Gases_Chile_ton[[#This Row],[Variación CO2eq total]]/AF6,"")</f>
        <v>5.2618945335474676E-2</v>
      </c>
      <c r="AI7" s="25">
        <f>+Todo_Gases_Chile_ton[[#This Row],[CO2e Total]]/Todo_Gases_Chile_ton[[#This Row],[Población]]</f>
        <v>4.1172617944959091</v>
      </c>
    </row>
    <row r="8" spans="1:35" x14ac:dyDescent="0.25">
      <c r="A8" s="2">
        <v>1995</v>
      </c>
      <c r="B8" s="13">
        <f>'Ark1'!B8*1000</f>
        <v>-10685016.595904</v>
      </c>
      <c r="C8" s="13">
        <f>'Ark1'!C8*1000</f>
        <v>-10685016.595904</v>
      </c>
      <c r="D8" s="13">
        <f>IFERROR(Todo_Gases_Chile_ton[[#This Row],[CO2]]-B7,"")</f>
        <v>-3062677.3560387995</v>
      </c>
      <c r="E8" s="13">
        <f>IFERROR(Todo_Gases_Chile_ton[[#This Row],[CO2 (CO2eq)]]-C7,"")</f>
        <v>-3062677.3560387995</v>
      </c>
      <c r="F8" s="16">
        <f>(Todo_Gases_Chile_ton[[#This Row],[CO2]]/Todo_Gases_Chile_ton[[#This Row],[Población]])</f>
        <v>-0.74298251813204819</v>
      </c>
      <c r="G8" s="13">
        <f>'Ark1'!G8*1000</f>
        <v>543253.14899999998</v>
      </c>
      <c r="H8" s="13">
        <f>Todo_Gases_Chile_ton[[#This Row],[CH4]]*25</f>
        <v>13581328.725</v>
      </c>
      <c r="I8" s="13">
        <f>IFERROR(Todo_Gases_Chile_ton[[#This Row],[CH4]]-G7,"")</f>
        <v>-4605.9457000000402</v>
      </c>
      <c r="J8" s="13">
        <f>IFERROR(Todo_Gases_Chile_ton[[#This Row],[Variación CH4]]*25,"")</f>
        <v>-115148.64250000101</v>
      </c>
      <c r="K8" s="16">
        <f>(Todo_Gases_Chile_ton[[#This Row],[CH4 (CO2eq)]]/Todo_Gases_Chile_ton[[#This Row],[Población]])</f>
        <v>0.94437755197757856</v>
      </c>
      <c r="L8" s="13">
        <f>'Ark1'!L8*1000</f>
        <v>21471.759699999999</v>
      </c>
      <c r="M8" s="13">
        <f>Todo_Gases_Chile_ton[[#This Row],[N2O]]*298</f>
        <v>6398584.3905999996</v>
      </c>
      <c r="N8" s="13">
        <f>IFERROR(Todo_Gases_Chile_ton[[#This Row],[N2O]]-L7,"")</f>
        <v>174.27430000000095</v>
      </c>
      <c r="O8" s="13">
        <f>IFERROR(Todo_Gases_Chile_ton[[#This Row],[Variación N2O]]*298,"")</f>
        <v>51933.741400000283</v>
      </c>
      <c r="P8" s="16">
        <f>(Todo_Gases_Chile_ton[[#This Row],[N2O (CO2eq)]]/Todo_Gases_Chile_ton[[#This Row],[Población]])</f>
        <v>0.44492549921081259</v>
      </c>
      <c r="Q8" s="13">
        <f>'Ark1'!Q8*1000</f>
        <v>0</v>
      </c>
      <c r="R8" s="13">
        <f>IFERROR(Todo_Gases_Chile_ton[[#This Row],[HFC]]-Q7,"")</f>
        <v>0</v>
      </c>
      <c r="S8" s="13">
        <f>'Ark1'!S8*1000</f>
        <v>0</v>
      </c>
      <c r="T8" s="13">
        <f>IFERROR(Todo_Gases_Chile_ton[[#This Row],[HFC (CO2eq)]]-S7,"")</f>
        <v>0</v>
      </c>
      <c r="U8" s="17">
        <f>(Todo_Gases_Chile_ton[[#This Row],[HFC (CO2eq)]]/Todo_Gases_Chile_ton[[#This Row],[Población]])</f>
        <v>0</v>
      </c>
      <c r="V8" s="14">
        <f>'Ark1'!V8*1000</f>
        <v>3.3542755570175435</v>
      </c>
      <c r="W8" s="17">
        <f>IFERROR(Todo_Gases_Chile_ton[[#This Row],[SF6]]-V7,"")</f>
        <v>0.29094607456140276</v>
      </c>
      <c r="X8" s="13">
        <f>'Ark1'!X8*1000</f>
        <v>76477.482699999993</v>
      </c>
      <c r="Y8" s="13">
        <f>IFERROR(Todo_Gases_Chile_ton[[#This Row],[SF6 (CO2eq)]]-X7,"")</f>
        <v>6633.5704999999871</v>
      </c>
      <c r="Z8" s="17">
        <f>(Todo_Gases_Chile_ton[[#This Row],[SF6 (CO2eq)]]/Todo_Gases_Chile_ton[[#This Row],[Población]])</f>
        <v>5.3178609660398755E-3</v>
      </c>
      <c r="AA8" s="13">
        <f>+Todo_Gases_Chile_ton[[#This Row],[CO2 (CO2eq)]]+Todo_Gases_Chile_ton[[#This Row],[CH4 (CO2eq)]]+Todo_Gases_Chile_ton[[#This Row],[N2O (CO2eq)]]+Todo_Gases_Chile_ton[[#This Row],[HFC (CO2eq)]]+Todo_Gases_Chile_ton[[#This Row],[SF6 (CO2eq)]]</f>
        <v>9371374.0023959987</v>
      </c>
      <c r="AB8" s="13">
        <f>IFERROR(Todo_Gases_Chile_ton[[#This Row],[ton netas CO2eq]]-AA7,"")</f>
        <v>-3119258.6866387986</v>
      </c>
      <c r="AC8" s="17">
        <f>+IFERROR(Todo_Gases_Chile_ton[[#This Row],[Variación ton CO2eq]]/AA7,"")</f>
        <v>-0.24972783719571828</v>
      </c>
      <c r="AD8" s="16">
        <f>(Todo_Gases_Chile_ton[[#This Row],[ton netas CO2eq]]/Todo_Gases_Chile_ton[[#This Row],[Población]])</f>
        <v>0.65163839402238277</v>
      </c>
      <c r="AE8" s="13">
        <v>14381249</v>
      </c>
      <c r="AF8" s="24">
        <v>61452137.697895698</v>
      </c>
      <c r="AG8" s="24">
        <f>+IFERROR(Todo_Gases_Chile_ton[[#This Row],[CO2e Total]]-AF7,"")</f>
        <v>3103040.5361608937</v>
      </c>
      <c r="AH8" s="26">
        <f>+IFERROR(Todo_Gases_Chile_ton[[#This Row],[Variación CO2eq total]]/AF7,"")</f>
        <v>5.3180609248498538E-2</v>
      </c>
      <c r="AI8" s="25">
        <f>+Todo_Gases_Chile_ton[[#This Row],[CO2e Total]]/Todo_Gases_Chile_ton[[#This Row],[Población]]</f>
        <v>4.2730737572164763</v>
      </c>
    </row>
    <row r="9" spans="1:35" x14ac:dyDescent="0.25">
      <c r="A9" s="2">
        <v>1996</v>
      </c>
      <c r="B9" s="13">
        <f>'Ark1'!B9*1000</f>
        <v>-4058991.726913</v>
      </c>
      <c r="C9" s="13">
        <f>'Ark1'!C9*1000</f>
        <v>-4058991.726913</v>
      </c>
      <c r="D9" s="13">
        <f>IFERROR(Todo_Gases_Chile_ton[[#This Row],[CO2]]-B8,"")</f>
        <v>6626024.8689910006</v>
      </c>
      <c r="E9" s="13">
        <f>IFERROR(Todo_Gases_Chile_ton[[#This Row],[CO2 (CO2eq)]]-C8,"")</f>
        <v>6626024.8689910006</v>
      </c>
      <c r="F9" s="16">
        <f>(Todo_Gases_Chile_ton[[#This Row],[CO2]]/Todo_Gases_Chile_ton[[#This Row],[Población]])</f>
        <v>-0.27830006697405207</v>
      </c>
      <c r="G9" s="13">
        <f>'Ark1'!G9*1000</f>
        <v>554766.3395</v>
      </c>
      <c r="H9" s="13">
        <f>Todo_Gases_Chile_ton[[#This Row],[CH4]]*25</f>
        <v>13869158.487500001</v>
      </c>
      <c r="I9" s="13">
        <f>IFERROR(Todo_Gases_Chile_ton[[#This Row],[CH4]]-G8,"")</f>
        <v>11513.190500000026</v>
      </c>
      <c r="J9" s="13">
        <f>IFERROR(Todo_Gases_Chile_ton[[#This Row],[Variación CH4]]*25,"")</f>
        <v>287829.76250000065</v>
      </c>
      <c r="K9" s="16">
        <f>(Todo_Gases_Chile_ton[[#This Row],[CH4 (CO2eq)]]/Todo_Gases_Chile_ton[[#This Row],[Población]])</f>
        <v>0.9509227896062975</v>
      </c>
      <c r="L9" s="13">
        <f>'Ark1'!L9*1000</f>
        <v>22022.432700000001</v>
      </c>
      <c r="M9" s="13">
        <f>Todo_Gases_Chile_ton[[#This Row],[N2O]]*298</f>
        <v>6562684.9446</v>
      </c>
      <c r="N9" s="13">
        <f>IFERROR(Todo_Gases_Chile_ton[[#This Row],[N2O]]-L8,"")</f>
        <v>550.6730000000025</v>
      </c>
      <c r="O9" s="13">
        <f>IFERROR(Todo_Gases_Chile_ton[[#This Row],[Variación N2O]]*298,"")</f>
        <v>164100.55400000076</v>
      </c>
      <c r="P9" s="16">
        <f>(Todo_Gases_Chile_ton[[#This Row],[N2O (CO2eq)]]/Todo_Gases_Chile_ton[[#This Row],[Población]])</f>
        <v>0.44996289287852742</v>
      </c>
      <c r="Q9" s="13">
        <f>'Ark1'!Q9*1000</f>
        <v>0</v>
      </c>
      <c r="R9" s="13">
        <f>IFERROR(Todo_Gases_Chile_ton[[#This Row],[HFC]]-Q8,"")</f>
        <v>0</v>
      </c>
      <c r="S9" s="13">
        <f>'Ark1'!S9*1000</f>
        <v>0</v>
      </c>
      <c r="T9" s="13">
        <f>IFERROR(Todo_Gases_Chile_ton[[#This Row],[HFC (CO2eq)]]-S8,"")</f>
        <v>0</v>
      </c>
      <c r="U9" s="17">
        <f>(Todo_Gases_Chile_ton[[#This Row],[HFC (CO2eq)]]/Todo_Gases_Chile_ton[[#This Row],[Población]])</f>
        <v>0</v>
      </c>
      <c r="V9" s="14">
        <f>'Ark1'!V9*1000</f>
        <v>3.2786175263157897</v>
      </c>
      <c r="W9" s="17">
        <f>IFERROR(Todo_Gases_Chile_ton[[#This Row],[SF6]]-V8,"")</f>
        <v>-7.5658030701753809E-2</v>
      </c>
      <c r="X9" s="13">
        <f>'Ark1'!X9*1000</f>
        <v>74752.479600000006</v>
      </c>
      <c r="Y9" s="13">
        <f>IFERROR(Todo_Gases_Chile_ton[[#This Row],[SF6 (CO2eq)]]-X8,"")</f>
        <v>-1725.0030999999872</v>
      </c>
      <c r="Z9" s="17">
        <f>(Todo_Gases_Chile_ton[[#This Row],[SF6 (CO2eq)]]/Todo_Gases_Chile_ton[[#This Row],[Población]])</f>
        <v>5.1253171917594216E-3</v>
      </c>
      <c r="AA9" s="13">
        <f>+Todo_Gases_Chile_ton[[#This Row],[CO2 (CO2eq)]]+Todo_Gases_Chile_ton[[#This Row],[CH4 (CO2eq)]]+Todo_Gases_Chile_ton[[#This Row],[N2O (CO2eq)]]+Todo_Gases_Chile_ton[[#This Row],[HFC (CO2eq)]]+Todo_Gases_Chile_ton[[#This Row],[SF6 (CO2eq)]]</f>
        <v>16447604.184787</v>
      </c>
      <c r="AB9" s="13">
        <f>IFERROR(Todo_Gases_Chile_ton[[#This Row],[ton netas CO2eq]]-AA8,"")</f>
        <v>7076230.1823910009</v>
      </c>
      <c r="AC9" s="17">
        <f>+IFERROR(Todo_Gases_Chile_ton[[#This Row],[Variación ton CO2eq]]/AA8,"")</f>
        <v>0.75508993457968987</v>
      </c>
      <c r="AD9" s="16">
        <f>(Todo_Gases_Chile_ton[[#This Row],[ton netas CO2eq]]/Todo_Gases_Chile_ton[[#This Row],[Población]])</f>
        <v>1.1277109327025323</v>
      </c>
      <c r="AE9" s="13">
        <v>14584947</v>
      </c>
      <c r="AF9" s="24">
        <v>67715097.674486995</v>
      </c>
      <c r="AG9" s="24">
        <f>+IFERROR(Todo_Gases_Chile_ton[[#This Row],[CO2e Total]]-AF8,"")</f>
        <v>6262959.9765912965</v>
      </c>
      <c r="AH9" s="26">
        <f>+IFERROR(Todo_Gases_Chile_ton[[#This Row],[Variación CO2eq total]]/AF8,"")</f>
        <v>0.10191606364257949</v>
      </c>
      <c r="AI9" s="25">
        <f>+Todo_Gases_Chile_ton[[#This Row],[CO2e Total]]/Todo_Gases_Chile_ton[[#This Row],[Población]]</f>
        <v>4.642807250138584</v>
      </c>
    </row>
    <row r="10" spans="1:35" x14ac:dyDescent="0.25">
      <c r="A10" s="2">
        <v>1997</v>
      </c>
      <c r="B10" s="13">
        <f>'Ark1'!B10*1000</f>
        <v>-263852.71006090002</v>
      </c>
      <c r="C10" s="13">
        <f>'Ark1'!C10*1000</f>
        <v>-263852.71006090002</v>
      </c>
      <c r="D10" s="13">
        <f>IFERROR(Todo_Gases_Chile_ton[[#This Row],[CO2]]-B9,"")</f>
        <v>3795139.0168520999</v>
      </c>
      <c r="E10" s="13">
        <f>IFERROR(Todo_Gases_Chile_ton[[#This Row],[CO2 (CO2eq)]]-C9,"")</f>
        <v>3795139.0168520999</v>
      </c>
      <c r="F10" s="16">
        <f>(Todo_Gases_Chile_ton[[#This Row],[CO2]]/Todo_Gases_Chile_ton[[#This Row],[Población]])</f>
        <v>-1.7848742311515904E-2</v>
      </c>
      <c r="G10" s="13">
        <f>'Ark1'!G10*1000</f>
        <v>573521.59349999996</v>
      </c>
      <c r="H10" s="13">
        <f>Todo_Gases_Chile_ton[[#This Row],[CH4]]*25</f>
        <v>14338039.837499999</v>
      </c>
      <c r="I10" s="13">
        <f>IFERROR(Todo_Gases_Chile_ton[[#This Row],[CH4]]-G9,"")</f>
        <v>18755.253999999957</v>
      </c>
      <c r="J10" s="13">
        <f>IFERROR(Todo_Gases_Chile_ton[[#This Row],[Variación CH4]]*25,"")</f>
        <v>468881.34999999893</v>
      </c>
      <c r="K10" s="16">
        <f>(Todo_Gases_Chile_ton[[#This Row],[CH4 (CO2eq)]]/Todo_Gases_Chile_ton[[#This Row],[Población]])</f>
        <v>0.96991983994675934</v>
      </c>
      <c r="L10" s="13">
        <f>'Ark1'!L10*1000</f>
        <v>22394.658499999998</v>
      </c>
      <c r="M10" s="13">
        <f>Todo_Gases_Chile_ton[[#This Row],[N2O]]*298</f>
        <v>6673608.2329999991</v>
      </c>
      <c r="N10" s="13">
        <f>IFERROR(Todo_Gases_Chile_ton[[#This Row],[N2O]]-L9,"")</f>
        <v>372.22579999999653</v>
      </c>
      <c r="O10" s="13">
        <f>IFERROR(Todo_Gases_Chile_ton[[#This Row],[Variación N2O]]*298,"")</f>
        <v>110923.28839999897</v>
      </c>
      <c r="P10" s="16">
        <f>(Todo_Gases_Chile_ton[[#This Row],[N2O (CO2eq)]]/Todo_Gases_Chile_ton[[#This Row],[Población]])</f>
        <v>0.45144699711947184</v>
      </c>
      <c r="Q10" s="13">
        <f>'Ark1'!Q10*1000</f>
        <v>0</v>
      </c>
      <c r="R10" s="13">
        <f>IFERROR(Todo_Gases_Chile_ton[[#This Row],[HFC]]-Q9,"")</f>
        <v>0</v>
      </c>
      <c r="S10" s="13">
        <f>'Ark1'!S10*1000</f>
        <v>0</v>
      </c>
      <c r="T10" s="13">
        <f>IFERROR(Todo_Gases_Chile_ton[[#This Row],[HFC (CO2eq)]]-S9,"")</f>
        <v>0</v>
      </c>
      <c r="U10" s="17">
        <f>(Todo_Gases_Chile_ton[[#This Row],[HFC (CO2eq)]]/Todo_Gases_Chile_ton[[#This Row],[Población]])</f>
        <v>0</v>
      </c>
      <c r="V10" s="14">
        <f>'Ark1'!V10*1000</f>
        <v>4.3422441096491227</v>
      </c>
      <c r="W10" s="17">
        <f>IFERROR(Todo_Gases_Chile_ton[[#This Row],[SF6]]-V9,"")</f>
        <v>1.0636265833333329</v>
      </c>
      <c r="X10" s="13">
        <f>'Ark1'!X10*1000</f>
        <v>99003.165699999998</v>
      </c>
      <c r="Y10" s="13">
        <f>IFERROR(Todo_Gases_Chile_ton[[#This Row],[SF6 (CO2eq)]]-X9,"")</f>
        <v>24250.686099999992</v>
      </c>
      <c r="Z10" s="17">
        <f>(Todo_Gases_Chile_ton[[#This Row],[SF6 (CO2eq)]]/Todo_Gases_Chile_ton[[#This Row],[Población]])</f>
        <v>6.6972288902992453E-3</v>
      </c>
      <c r="AA10" s="13">
        <f>+Todo_Gases_Chile_ton[[#This Row],[CO2 (CO2eq)]]+Todo_Gases_Chile_ton[[#This Row],[CH4 (CO2eq)]]+Todo_Gases_Chile_ton[[#This Row],[N2O (CO2eq)]]+Todo_Gases_Chile_ton[[#This Row],[HFC (CO2eq)]]+Todo_Gases_Chile_ton[[#This Row],[SF6 (CO2eq)]]</f>
        <v>20846798.526139099</v>
      </c>
      <c r="AB10" s="13">
        <f>IFERROR(Todo_Gases_Chile_ton[[#This Row],[ton netas CO2eq]]-AA9,"")</f>
        <v>4399194.3413520996</v>
      </c>
      <c r="AC10" s="17">
        <f>+IFERROR(Todo_Gases_Chile_ton[[#This Row],[Variación ton CO2eq]]/AA9,"")</f>
        <v>0.26746718196325991</v>
      </c>
      <c r="AD10" s="16">
        <f>(Todo_Gases_Chile_ton[[#This Row],[ton netas CO2eq]]/Todo_Gases_Chile_ton[[#This Row],[Población]])</f>
        <v>1.4102153236450146</v>
      </c>
      <c r="AE10" s="13">
        <v>14782706</v>
      </c>
      <c r="AF10" s="24">
        <v>75203285.806939095</v>
      </c>
      <c r="AG10" s="24">
        <f>+IFERROR(Todo_Gases_Chile_ton[[#This Row],[CO2e Total]]-AF9,"")</f>
        <v>7488188.1324521005</v>
      </c>
      <c r="AH10" s="26">
        <f>+IFERROR(Todo_Gases_Chile_ton[[#This Row],[Variación CO2eq total]]/AF9,"")</f>
        <v>0.11058373080178578</v>
      </c>
      <c r="AI10" s="25">
        <f>+Todo_Gases_Chile_ton[[#This Row],[CO2e Total]]/Todo_Gases_Chile_ton[[#This Row],[Población]]</f>
        <v>5.0872476126454176</v>
      </c>
    </row>
    <row r="11" spans="1:35" x14ac:dyDescent="0.25">
      <c r="A11" s="2">
        <v>1998</v>
      </c>
      <c r="B11" s="13">
        <f>'Ark1'!B11*1000</f>
        <v>17431017.596503999</v>
      </c>
      <c r="C11" s="13">
        <f>'Ark1'!C11*1000</f>
        <v>17431017.596503999</v>
      </c>
      <c r="D11" s="13">
        <f>IFERROR(Todo_Gases_Chile_ton[[#This Row],[CO2]]-B10,"")</f>
        <v>17694870.306564897</v>
      </c>
      <c r="E11" s="13">
        <f>IFERROR(Todo_Gases_Chile_ton[[#This Row],[CO2 (CO2eq)]]-C10,"")</f>
        <v>17694870.306564897</v>
      </c>
      <c r="F11" s="16">
        <f>(Todo_Gases_Chile_ton[[#This Row],[CO2]]/Todo_Gases_Chile_ton[[#This Row],[Población]])</f>
        <v>1.1640157813765408</v>
      </c>
      <c r="G11" s="13">
        <f>'Ark1'!G11*1000</f>
        <v>599715.679</v>
      </c>
      <c r="H11" s="13">
        <f>Todo_Gases_Chile_ton[[#This Row],[CH4]]*25</f>
        <v>14992891.975</v>
      </c>
      <c r="I11" s="13">
        <f>IFERROR(Todo_Gases_Chile_ton[[#This Row],[CH4]]-G10,"")</f>
        <v>26194.085500000045</v>
      </c>
      <c r="J11" s="13">
        <f>IFERROR(Todo_Gases_Chile_ton[[#This Row],[Variación CH4]]*25,"")</f>
        <v>654852.13750000112</v>
      </c>
      <c r="K11" s="16">
        <f>(Todo_Gases_Chile_ton[[#This Row],[CH4 (CO2eq)]]/Todo_Gases_Chile_ton[[#This Row],[Población]])</f>
        <v>1.0012016091862528</v>
      </c>
      <c r="L11" s="13">
        <f>'Ark1'!L11*1000</f>
        <v>23937.944600000003</v>
      </c>
      <c r="M11" s="13">
        <f>Todo_Gases_Chile_ton[[#This Row],[N2O]]*298</f>
        <v>7133507.4908000007</v>
      </c>
      <c r="N11" s="13">
        <f>IFERROR(Todo_Gases_Chile_ton[[#This Row],[N2O]]-L10,"")</f>
        <v>1543.2861000000048</v>
      </c>
      <c r="O11" s="13">
        <f>IFERROR(Todo_Gases_Chile_ton[[#This Row],[Variación N2O]]*298,"")</f>
        <v>459899.25780000142</v>
      </c>
      <c r="P11" s="16">
        <f>(Todo_Gases_Chile_ton[[#This Row],[N2O (CO2eq)]]/Todo_Gases_Chile_ton[[#This Row],[Población]])</f>
        <v>0.4763643459073979</v>
      </c>
      <c r="Q11" s="13">
        <f>'Ark1'!Q11*1000</f>
        <v>0</v>
      </c>
      <c r="R11" s="13">
        <f>IFERROR(Todo_Gases_Chile_ton[[#This Row],[HFC]]-Q10,"")</f>
        <v>0</v>
      </c>
      <c r="S11" s="13">
        <f>'Ark1'!S11*1000</f>
        <v>0</v>
      </c>
      <c r="T11" s="13">
        <f>IFERROR(Todo_Gases_Chile_ton[[#This Row],[HFC (CO2eq)]]-S10,"")</f>
        <v>0</v>
      </c>
      <c r="U11" s="17">
        <f>(Todo_Gases_Chile_ton[[#This Row],[HFC (CO2eq)]]/Todo_Gases_Chile_ton[[#This Row],[Población]])</f>
        <v>0</v>
      </c>
      <c r="V11" s="14">
        <f>'Ark1'!V11*1000</f>
        <v>5.3666071359649123</v>
      </c>
      <c r="W11" s="17">
        <f>IFERROR(Todo_Gases_Chile_ton[[#This Row],[SF6]]-V10,"")</f>
        <v>1.0243630263157897</v>
      </c>
      <c r="X11" s="13">
        <f>'Ark1'!X11*1000</f>
        <v>122358.64270000001</v>
      </c>
      <c r="Y11" s="13">
        <f>IFERROR(Todo_Gases_Chile_ton[[#This Row],[SF6 (CO2eq)]]-X10,"")</f>
        <v>23355.477000000014</v>
      </c>
      <c r="Z11" s="17">
        <f>(Todo_Gases_Chile_ton[[#This Row],[SF6 (CO2eq)]]/Todo_Gases_Chile_ton[[#This Row],[Población]])</f>
        <v>8.1709166032382999E-3</v>
      </c>
      <c r="AA11" s="13">
        <f>+Todo_Gases_Chile_ton[[#This Row],[CO2 (CO2eq)]]+Todo_Gases_Chile_ton[[#This Row],[CH4 (CO2eq)]]+Todo_Gases_Chile_ton[[#This Row],[N2O (CO2eq)]]+Todo_Gases_Chile_ton[[#This Row],[HFC (CO2eq)]]+Todo_Gases_Chile_ton[[#This Row],[SF6 (CO2eq)]]</f>
        <v>39679775.705003999</v>
      </c>
      <c r="AB11" s="13">
        <f>IFERROR(Todo_Gases_Chile_ton[[#This Row],[ton netas CO2eq]]-AA10,"")</f>
        <v>18832977.1788649</v>
      </c>
      <c r="AC11" s="17">
        <f>+IFERROR(Todo_Gases_Chile_ton[[#This Row],[Variación ton CO2eq]]/AA10,"")</f>
        <v>0.90339901137581691</v>
      </c>
      <c r="AD11" s="16">
        <f>(Todo_Gases_Chile_ton[[#This Row],[ton netas CO2eq]]/Todo_Gases_Chile_ton[[#This Row],[Población]])</f>
        <v>2.6497526530734299</v>
      </c>
      <c r="AE11" s="13">
        <v>14974898</v>
      </c>
      <c r="AF11" s="24">
        <v>76151209.298304304</v>
      </c>
      <c r="AG11" s="24">
        <f>+IFERROR(Todo_Gases_Chile_ton[[#This Row],[CO2e Total]]-AF10,"")</f>
        <v>947923.49136520922</v>
      </c>
      <c r="AH11" s="26">
        <f>+IFERROR(Todo_Gases_Chile_ton[[#This Row],[Variación CO2eq total]]/AF10,"")</f>
        <v>1.2604814818845896E-2</v>
      </c>
      <c r="AI11" s="25">
        <f>+Todo_Gases_Chile_ton[[#This Row],[CO2e Total]]/Todo_Gases_Chile_ton[[#This Row],[Población]]</f>
        <v>5.0852572951284412</v>
      </c>
    </row>
    <row r="12" spans="1:35" x14ac:dyDescent="0.25">
      <c r="A12" s="2">
        <v>1999</v>
      </c>
      <c r="B12" s="13">
        <f>'Ark1'!B12*1000</f>
        <v>8254831.2820216995</v>
      </c>
      <c r="C12" s="13">
        <f>'Ark1'!C12*1000</f>
        <v>8254831.2820216995</v>
      </c>
      <c r="D12" s="13">
        <f>IFERROR(Todo_Gases_Chile_ton[[#This Row],[CO2]]-B11,"")</f>
        <v>-9176186.3144822996</v>
      </c>
      <c r="E12" s="13">
        <f>IFERROR(Todo_Gases_Chile_ton[[#This Row],[CO2 (CO2eq)]]-C11,"")</f>
        <v>-9176186.3144822996</v>
      </c>
      <c r="F12" s="16">
        <f>(Todo_Gases_Chile_ton[[#This Row],[CO2]]/Todo_Gases_Chile_ton[[#This Row],[Población]])</f>
        <v>0.54442943532720145</v>
      </c>
      <c r="G12" s="13">
        <f>'Ark1'!G12*1000</f>
        <v>589577.10490000003</v>
      </c>
      <c r="H12" s="13">
        <f>Todo_Gases_Chile_ton[[#This Row],[CH4]]*25</f>
        <v>14739427.622500001</v>
      </c>
      <c r="I12" s="13">
        <f>IFERROR(Todo_Gases_Chile_ton[[#This Row],[CH4]]-G11,"")</f>
        <v>-10138.574099999969</v>
      </c>
      <c r="J12" s="13">
        <f>IFERROR(Todo_Gases_Chile_ton[[#This Row],[Variación CH4]]*25,"")</f>
        <v>-253464.35249999922</v>
      </c>
      <c r="K12" s="16">
        <f>(Todo_Gases_Chile_ton[[#This Row],[CH4 (CO2eq)]]/Todo_Gases_Chile_ton[[#This Row],[Población]])</f>
        <v>0.97210687698010989</v>
      </c>
      <c r="L12" s="13">
        <f>'Ark1'!L12*1000</f>
        <v>23264.323199999999</v>
      </c>
      <c r="M12" s="13">
        <f>Todo_Gases_Chile_ton[[#This Row],[N2O]]*298</f>
        <v>6932768.3136</v>
      </c>
      <c r="N12" s="13">
        <f>IFERROR(Todo_Gases_Chile_ton[[#This Row],[N2O]]-L11,"")</f>
        <v>-673.62140000000363</v>
      </c>
      <c r="O12" s="13">
        <f>IFERROR(Todo_Gases_Chile_ton[[#This Row],[Variación N2O]]*298,"")</f>
        <v>-200739.17720000108</v>
      </c>
      <c r="P12" s="16">
        <f>(Todo_Gases_Chile_ton[[#This Row],[N2O (CO2eq)]]/Todo_Gases_Chile_ton[[#This Row],[Población]])</f>
        <v>0.45723564895237567</v>
      </c>
      <c r="Q12" s="13">
        <f>'Ark1'!Q12*1000</f>
        <v>5.1796220540540547</v>
      </c>
      <c r="R12" s="13">
        <f>IFERROR(Todo_Gases_Chile_ton[[#This Row],[HFC]]-Q11,"")</f>
        <v>5.1796220540540547</v>
      </c>
      <c r="S12" s="13">
        <f>'Ark1'!S12*1000</f>
        <v>38329.203200000004</v>
      </c>
      <c r="T12" s="13">
        <f>IFERROR(Todo_Gases_Chile_ton[[#This Row],[HFC (CO2eq)]]-S11,"")</f>
        <v>38329.203200000004</v>
      </c>
      <c r="U12" s="17">
        <f>(Todo_Gases_Chile_ton[[#This Row],[HFC (CO2eq)]]/Todo_Gases_Chile_ton[[#This Row],[Población]])</f>
        <v>2.5279191956551865E-3</v>
      </c>
      <c r="V12" s="14">
        <f>'Ark1'!V12*1000</f>
        <v>4.5233375263157889</v>
      </c>
      <c r="W12" s="17">
        <f>IFERROR(Todo_Gases_Chile_ton[[#This Row],[SF6]]-V11,"")</f>
        <v>-0.84326960964912345</v>
      </c>
      <c r="X12" s="13">
        <f>'Ark1'!X12*1000</f>
        <v>103132.0956</v>
      </c>
      <c r="Y12" s="13">
        <f>IFERROR(Todo_Gases_Chile_ton[[#This Row],[SF6 (CO2eq)]]-X11,"")</f>
        <v>-19226.547100000011</v>
      </c>
      <c r="Z12" s="17">
        <f>(Todo_Gases_Chile_ton[[#This Row],[SF6 (CO2eq)]]/Todo_Gases_Chile_ton[[#This Row],[Población]])</f>
        <v>6.8018529577830037E-3</v>
      </c>
      <c r="AA12" s="13">
        <f>+Todo_Gases_Chile_ton[[#This Row],[CO2 (CO2eq)]]+Todo_Gases_Chile_ton[[#This Row],[CH4 (CO2eq)]]+Todo_Gases_Chile_ton[[#This Row],[N2O (CO2eq)]]+Todo_Gases_Chile_ton[[#This Row],[HFC (CO2eq)]]+Todo_Gases_Chile_ton[[#This Row],[SF6 (CO2eq)]]</f>
        <v>30068488.516921703</v>
      </c>
      <c r="AB12" s="13">
        <f>IFERROR(Todo_Gases_Chile_ton[[#This Row],[ton netas CO2eq]]-AA11,"")</f>
        <v>-9611287.1880822964</v>
      </c>
      <c r="AC12" s="17">
        <f>+IFERROR(Todo_Gases_Chile_ton[[#This Row],[Variación ton CO2eq]]/AA11,"")</f>
        <v>-0.24222130839490158</v>
      </c>
      <c r="AD12" s="16">
        <f>(Todo_Gases_Chile_ton[[#This Row],[ton netas CO2eq]]/Todo_Gases_Chile_ton[[#This Row],[Población]])</f>
        <v>1.9831017334131253</v>
      </c>
      <c r="AE12" s="13">
        <v>15162353</v>
      </c>
      <c r="AF12" s="24">
        <v>79278889.077121705</v>
      </c>
      <c r="AG12" s="24">
        <f>+IFERROR(Todo_Gases_Chile_ton[[#This Row],[CO2e Total]]-AF11,"")</f>
        <v>3127679.7788174003</v>
      </c>
      <c r="AH12" s="26">
        <f>+IFERROR(Todo_Gases_Chile_ton[[#This Row],[Variación CO2eq total]]/AF11,"")</f>
        <v>4.1071964682339535E-2</v>
      </c>
      <c r="AI12" s="25">
        <f>+Todo_Gases_Chile_ton[[#This Row],[CO2e Total]]/Todo_Gases_Chile_ton[[#This Row],[Población]]</f>
        <v>5.2286666243109963</v>
      </c>
    </row>
    <row r="13" spans="1:35" x14ac:dyDescent="0.25">
      <c r="A13" s="2">
        <v>2000</v>
      </c>
      <c r="B13" s="13">
        <f>'Ark1'!B13*1000</f>
        <v>-7655823.0726868995</v>
      </c>
      <c r="C13" s="13">
        <f>'Ark1'!C13*1000</f>
        <v>-7655823.0726868995</v>
      </c>
      <c r="D13" s="13">
        <f>IFERROR(Todo_Gases_Chile_ton[[#This Row],[CO2]]-B12,"")</f>
        <v>-15910654.354708599</v>
      </c>
      <c r="E13" s="13">
        <f>IFERROR(Todo_Gases_Chile_ton[[#This Row],[CO2 (CO2eq)]]-C12,"")</f>
        <v>-15910654.354708599</v>
      </c>
      <c r="F13" s="16">
        <f>(Todo_Gases_Chile_ton[[#This Row],[CO2]]/Todo_Gases_Chile_ton[[#This Row],[Población]])</f>
        <v>-0.4989676340505898</v>
      </c>
      <c r="G13" s="13">
        <f>'Ark1'!G13*1000</f>
        <v>587261.43760000006</v>
      </c>
      <c r="H13" s="13">
        <f>Todo_Gases_Chile_ton[[#This Row],[CH4]]*25</f>
        <v>14681535.940000001</v>
      </c>
      <c r="I13" s="13">
        <f>IFERROR(Todo_Gases_Chile_ton[[#This Row],[CH4]]-G12,"")</f>
        <v>-2315.6672999999719</v>
      </c>
      <c r="J13" s="13">
        <f>IFERROR(Todo_Gases_Chile_ton[[#This Row],[Variación CH4]]*25,"")</f>
        <v>-57891.682499999297</v>
      </c>
      <c r="K13" s="16">
        <f>(Todo_Gases_Chile_ton[[#This Row],[CH4 (CO2eq)]]/Todo_Gases_Chile_ton[[#This Row],[Población]])</f>
        <v>0.95686788770570352</v>
      </c>
      <c r="L13" s="13">
        <f>'Ark1'!L13*1000</f>
        <v>22512.1695</v>
      </c>
      <c r="M13" s="13">
        <f>Todo_Gases_Chile_ton[[#This Row],[N2O]]*298</f>
        <v>6708626.5109999999</v>
      </c>
      <c r="N13" s="13">
        <f>IFERROR(Todo_Gases_Chile_ton[[#This Row],[N2O]]-L12,"")</f>
        <v>-752.15369999999893</v>
      </c>
      <c r="O13" s="13">
        <f>IFERROR(Todo_Gases_Chile_ton[[#This Row],[Variación N2O]]*298,"")</f>
        <v>-224141.80259999968</v>
      </c>
      <c r="P13" s="16">
        <f>(Todo_Gases_Chile_ton[[#This Row],[N2O (CO2eq)]]/Todo_Gases_Chile_ton[[#This Row],[Población]])</f>
        <v>0.43723417667069059</v>
      </c>
      <c r="Q13" s="13">
        <f>'Ark1'!Q13*1000</f>
        <v>11.062030513513513</v>
      </c>
      <c r="R13" s="13">
        <f>IFERROR(Todo_Gases_Chile_ton[[#This Row],[HFC]]-Q12,"")</f>
        <v>5.8824084594594579</v>
      </c>
      <c r="S13" s="13">
        <f>'Ark1'!S13*1000</f>
        <v>81859.025800000003</v>
      </c>
      <c r="T13" s="13">
        <f>IFERROR(Todo_Gases_Chile_ton[[#This Row],[HFC (CO2eq)]]-S12,"")</f>
        <v>43529.8226</v>
      </c>
      <c r="U13" s="17">
        <f>(Todo_Gases_Chile_ton[[#This Row],[HFC (CO2eq)]]/Todo_Gases_Chile_ton[[#This Row],[Población]])</f>
        <v>5.335155219930803E-3</v>
      </c>
      <c r="V13" s="14">
        <f>'Ark1'!V13*1000</f>
        <v>4.1266425394736839</v>
      </c>
      <c r="W13" s="17">
        <f>IFERROR(Todo_Gases_Chile_ton[[#This Row],[SF6]]-V12,"")</f>
        <v>-0.39669498684210502</v>
      </c>
      <c r="X13" s="13">
        <f>'Ark1'!X13*1000</f>
        <v>94087.449899999992</v>
      </c>
      <c r="Y13" s="13">
        <f>IFERROR(Todo_Gases_Chile_ton[[#This Row],[SF6 (CO2eq)]]-X12,"")</f>
        <v>-9044.6457000000082</v>
      </c>
      <c r="Z13" s="17">
        <f>(Todo_Gases_Chile_ton[[#This Row],[SF6 (CO2eq)]]/Todo_Gases_Chile_ton[[#This Row],[Población]])</f>
        <v>6.1321417468415901E-3</v>
      </c>
      <c r="AA13" s="13">
        <f>+Todo_Gases_Chile_ton[[#This Row],[CO2 (CO2eq)]]+Todo_Gases_Chile_ton[[#This Row],[CH4 (CO2eq)]]+Todo_Gases_Chile_ton[[#This Row],[N2O (CO2eq)]]+Todo_Gases_Chile_ton[[#This Row],[HFC (CO2eq)]]+Todo_Gases_Chile_ton[[#This Row],[SF6 (CO2eq)]]</f>
        <v>13910285.854013102</v>
      </c>
      <c r="AB13" s="13">
        <f>IFERROR(Todo_Gases_Chile_ton[[#This Row],[ton netas CO2eq]]-AA12,"")</f>
        <v>-16158202.662908601</v>
      </c>
      <c r="AC13" s="17">
        <f>+IFERROR(Todo_Gases_Chile_ton[[#This Row],[Variación ton CO2eq]]/AA12,"")</f>
        <v>-0.53737994358496655</v>
      </c>
      <c r="AD13" s="16">
        <f>(Todo_Gases_Chile_ton[[#This Row],[ton netas CO2eq]]/Todo_Gases_Chile_ton[[#This Row],[Población]])</f>
        <v>0.90660172729257671</v>
      </c>
      <c r="AE13" s="13">
        <v>15343326</v>
      </c>
      <c r="AF13" s="24">
        <v>76586655.085413083</v>
      </c>
      <c r="AG13" s="24">
        <f>+IFERROR(Todo_Gases_Chile_ton[[#This Row],[CO2e Total]]-AF12,"")</f>
        <v>-2692233.9917086214</v>
      </c>
      <c r="AH13" s="26">
        <f>+IFERROR(Todo_Gases_Chile_ton[[#This Row],[Variación CO2eq total]]/AF12,"")</f>
        <v>-3.3959027719089797E-2</v>
      </c>
      <c r="AI13" s="25">
        <f>+Todo_Gases_Chile_ton[[#This Row],[CO2e Total]]/Todo_Gases_Chile_ton[[#This Row],[Población]]</f>
        <v>4.9915288957174662</v>
      </c>
    </row>
    <row r="14" spans="1:35" x14ac:dyDescent="0.25">
      <c r="A14" s="2">
        <v>2001</v>
      </c>
      <c r="B14" s="13">
        <f>'Ark1'!B14*1000</f>
        <v>-11597767.638239</v>
      </c>
      <c r="C14" s="13">
        <f>'Ark1'!C14*1000</f>
        <v>-11597767.638239</v>
      </c>
      <c r="D14" s="13">
        <f>IFERROR(Todo_Gases_Chile_ton[[#This Row],[CO2]]-B13,"")</f>
        <v>-3941944.5655521005</v>
      </c>
      <c r="E14" s="13">
        <f>IFERROR(Todo_Gases_Chile_ton[[#This Row],[CO2 (CO2eq)]]-C13,"")</f>
        <v>-3941944.5655521005</v>
      </c>
      <c r="F14" s="16">
        <f>(Todo_Gases_Chile_ton[[#This Row],[CO2]]/Todo_Gases_Chile_ton[[#This Row],[Población]])</f>
        <v>-0.74727648335639918</v>
      </c>
      <c r="G14" s="13">
        <f>'Ark1'!G14*1000</f>
        <v>595139.36589999998</v>
      </c>
      <c r="H14" s="13">
        <f>Todo_Gases_Chile_ton[[#This Row],[CH4]]*25</f>
        <v>14878484.147499999</v>
      </c>
      <c r="I14" s="13">
        <f>IFERROR(Todo_Gases_Chile_ton[[#This Row],[CH4]]-G13,"")</f>
        <v>7877.9282999999123</v>
      </c>
      <c r="J14" s="13">
        <f>IFERROR(Todo_Gases_Chile_ton[[#This Row],[Variación CH4]]*25,"")</f>
        <v>196948.20749999781</v>
      </c>
      <c r="K14" s="16">
        <f>(Todo_Gases_Chile_ton[[#This Row],[CH4 (CO2eq)]]/Todo_Gases_Chile_ton[[#This Row],[Población]])</f>
        <v>0.95866218898535693</v>
      </c>
      <c r="L14" s="13">
        <f>'Ark1'!L14*1000</f>
        <v>22956.945800000001</v>
      </c>
      <c r="M14" s="13">
        <f>Todo_Gases_Chile_ton[[#This Row],[N2O]]*298</f>
        <v>6841169.8484000005</v>
      </c>
      <c r="N14" s="13">
        <f>IFERROR(Todo_Gases_Chile_ton[[#This Row],[N2O]]-L13,"")</f>
        <v>444.77630000000136</v>
      </c>
      <c r="O14" s="13">
        <f>IFERROR(Todo_Gases_Chile_ton[[#This Row],[Variación N2O]]*298,"")</f>
        <v>132543.3374000004</v>
      </c>
      <c r="P14" s="16">
        <f>(Todo_Gases_Chile_ton[[#This Row],[N2O (CO2eq)]]/Todo_Gases_Chile_ton[[#This Row],[Población]])</f>
        <v>0.44079563462718452</v>
      </c>
      <c r="Q14" s="13">
        <f>'Ark1'!Q14*1000</f>
        <v>20.993142554054057</v>
      </c>
      <c r="R14" s="13">
        <f>IFERROR(Todo_Gases_Chile_ton[[#This Row],[HFC]]-Q13,"")</f>
        <v>9.931112040540544</v>
      </c>
      <c r="S14" s="13">
        <f>'Ark1'!S14*1000</f>
        <v>155349.2549</v>
      </c>
      <c r="T14" s="13">
        <f>IFERROR(Todo_Gases_Chile_ton[[#This Row],[HFC (CO2eq)]]-S13,"")</f>
        <v>73490.229099999997</v>
      </c>
      <c r="U14" s="17">
        <f>(Todo_Gases_Chile_ton[[#This Row],[HFC (CO2eq)]]/Todo_Gases_Chile_ton[[#This Row],[Población]])</f>
        <v>1.0009585337005057E-2</v>
      </c>
      <c r="V14" s="14">
        <f>'Ark1'!V14*1000</f>
        <v>4.3264525394736841</v>
      </c>
      <c r="W14" s="17">
        <f>IFERROR(Todo_Gases_Chile_ton[[#This Row],[SF6]]-V13,"")</f>
        <v>0.19981000000000027</v>
      </c>
      <c r="X14" s="13">
        <f>'Ark1'!X14*1000</f>
        <v>98643.117899999997</v>
      </c>
      <c r="Y14" s="13">
        <f>IFERROR(Todo_Gases_Chile_ton[[#This Row],[SF6 (CO2eq)]]-X13,"")</f>
        <v>4555.6680000000051</v>
      </c>
      <c r="Z14" s="17">
        <f>(Todo_Gases_Chile_ton[[#This Row],[SF6 (CO2eq)]]/Todo_Gases_Chile_ton[[#This Row],[Población]])</f>
        <v>6.3558509319139389E-3</v>
      </c>
      <c r="AA14" s="13">
        <f>+Todo_Gases_Chile_ton[[#This Row],[CO2 (CO2eq)]]+Todo_Gases_Chile_ton[[#This Row],[CH4 (CO2eq)]]+Todo_Gases_Chile_ton[[#This Row],[N2O (CO2eq)]]+Todo_Gases_Chile_ton[[#This Row],[HFC (CO2eq)]]+Todo_Gases_Chile_ton[[#This Row],[SF6 (CO2eq)]]</f>
        <v>10375878.730461</v>
      </c>
      <c r="AB14" s="13">
        <f>IFERROR(Todo_Gases_Chile_ton[[#This Row],[ton netas CO2eq]]-AA13,"")</f>
        <v>-3534407.1235521026</v>
      </c>
      <c r="AC14" s="17">
        <f>+IFERROR(Todo_Gases_Chile_ton[[#This Row],[Variación ton CO2eq]]/AA13,"")</f>
        <v>-0.25408587290335449</v>
      </c>
      <c r="AD14" s="16">
        <f>(Todo_Gases_Chile_ton[[#This Row],[ton netas CO2eq]]/Todo_Gases_Chile_ton[[#This Row],[Población]])</f>
        <v>0.66854677652506123</v>
      </c>
      <c r="AE14" s="13">
        <v>15520049</v>
      </c>
      <c r="AF14" s="24">
        <v>74731673.5334609</v>
      </c>
      <c r="AG14" s="24">
        <f>+IFERROR(Todo_Gases_Chile_ton[[#This Row],[CO2e Total]]-AF13,"")</f>
        <v>-1854981.5519521832</v>
      </c>
      <c r="AH14" s="26">
        <f>+IFERROR(Todo_Gases_Chile_ton[[#This Row],[Variación CO2eq total]]/AF13,"")</f>
        <v>-2.4220688968377316E-2</v>
      </c>
      <c r="AI14" s="25">
        <f>+Todo_Gases_Chile_ton[[#This Row],[CO2e Total]]/Todo_Gases_Chile_ton[[#This Row],[Población]]</f>
        <v>4.8151699478178775</v>
      </c>
    </row>
    <row r="15" spans="1:35" x14ac:dyDescent="0.25">
      <c r="A15" s="2">
        <v>2002</v>
      </c>
      <c r="B15" s="13">
        <f>'Ark1'!B15*1000</f>
        <v>-2914725.8413477996</v>
      </c>
      <c r="C15" s="13">
        <f>'Ark1'!C15*1000</f>
        <v>-2914725.8413477996</v>
      </c>
      <c r="D15" s="13">
        <f>IFERROR(Todo_Gases_Chile_ton[[#This Row],[CO2]]-B14,"")</f>
        <v>8683041.7968912013</v>
      </c>
      <c r="E15" s="13">
        <f>IFERROR(Todo_Gases_Chile_ton[[#This Row],[CO2 (CO2eq)]]-C14,"")</f>
        <v>8683041.7968912013</v>
      </c>
      <c r="F15" s="16">
        <f>(Todo_Gases_Chile_ton[[#This Row],[CO2]]/Todo_Gases_Chile_ton[[#This Row],[Población]])</f>
        <v>-0.18574951443108684</v>
      </c>
      <c r="G15" s="13">
        <f>'Ark1'!G15*1000</f>
        <v>632501.82860000001</v>
      </c>
      <c r="H15" s="13">
        <f>Todo_Gases_Chile_ton[[#This Row],[CH4]]*25</f>
        <v>15812545.715</v>
      </c>
      <c r="I15" s="13">
        <f>IFERROR(Todo_Gases_Chile_ton[[#This Row],[CH4]]-G14,"")</f>
        <v>37362.462700000033</v>
      </c>
      <c r="J15" s="13">
        <f>IFERROR(Todo_Gases_Chile_ton[[#This Row],[Variación CH4]]*25,"")</f>
        <v>934061.56750000082</v>
      </c>
      <c r="K15" s="16">
        <f>(Todo_Gases_Chile_ton[[#This Row],[CH4 (CO2eq)]]/Todo_Gases_Chile_ton[[#This Row],[Población]])</f>
        <v>1.0077011864424386</v>
      </c>
      <c r="L15" s="13">
        <f>'Ark1'!L15*1000</f>
        <v>24469.5622</v>
      </c>
      <c r="M15" s="13">
        <f>Todo_Gases_Chile_ton[[#This Row],[N2O]]*298</f>
        <v>7291929.5356000001</v>
      </c>
      <c r="N15" s="13">
        <f>IFERROR(Todo_Gases_Chile_ton[[#This Row],[N2O]]-L14,"")</f>
        <v>1512.616399999999</v>
      </c>
      <c r="O15" s="13">
        <f>IFERROR(Todo_Gases_Chile_ton[[#This Row],[Variación N2O]]*298,"")</f>
        <v>450759.68719999969</v>
      </c>
      <c r="P15" s="16">
        <f>(Todo_Gases_Chile_ton[[#This Row],[N2O (CO2eq)]]/Todo_Gases_Chile_ton[[#This Row],[Población]])</f>
        <v>0.46469975024377536</v>
      </c>
      <c r="Q15" s="13">
        <f>'Ark1'!Q15*1000</f>
        <v>25.704180837837839</v>
      </c>
      <c r="R15" s="13">
        <f>IFERROR(Todo_Gases_Chile_ton[[#This Row],[HFC]]-Q14,"")</f>
        <v>4.7110382837837825</v>
      </c>
      <c r="S15" s="13">
        <f>'Ark1'!S15*1000</f>
        <v>190210.93819999998</v>
      </c>
      <c r="T15" s="13">
        <f>IFERROR(Todo_Gases_Chile_ton[[#This Row],[HFC (CO2eq)]]-S14,"")</f>
        <v>34861.683299999975</v>
      </c>
      <c r="U15" s="17">
        <f>(Todo_Gases_Chile_ton[[#This Row],[HFC (CO2eq)]]/Todo_Gases_Chile_ton[[#This Row],[Población]])</f>
        <v>1.2121753925849082E-2</v>
      </c>
      <c r="V15" s="14">
        <f>'Ark1'!V15*1000</f>
        <v>4.2109495350877193</v>
      </c>
      <c r="W15" s="17">
        <f>IFERROR(Todo_Gases_Chile_ton[[#This Row],[SF6]]-V14,"")</f>
        <v>-0.11550300438596484</v>
      </c>
      <c r="X15" s="13">
        <f>'Ark1'!X15*1000</f>
        <v>96009.649399999995</v>
      </c>
      <c r="Y15" s="13">
        <f>IFERROR(Todo_Gases_Chile_ton[[#This Row],[SF6 (CO2eq)]]-X14,"")</f>
        <v>-2633.4685000000027</v>
      </c>
      <c r="Z15" s="17">
        <f>(Todo_Gases_Chile_ton[[#This Row],[SF6 (CO2eq)]]/Todo_Gases_Chile_ton[[#This Row],[Población]])</f>
        <v>6.1184985235188966E-3</v>
      </c>
      <c r="AA15" s="13">
        <f>+Todo_Gases_Chile_ton[[#This Row],[CO2 (CO2eq)]]+Todo_Gases_Chile_ton[[#This Row],[CH4 (CO2eq)]]+Todo_Gases_Chile_ton[[#This Row],[N2O (CO2eq)]]+Todo_Gases_Chile_ton[[#This Row],[HFC (CO2eq)]]+Todo_Gases_Chile_ton[[#This Row],[SF6 (CO2eq)]]</f>
        <v>20475969.9968522</v>
      </c>
      <c r="AB15" s="13">
        <f>IFERROR(Todo_Gases_Chile_ton[[#This Row],[ton netas CO2eq]]-AA14,"")</f>
        <v>10100091.266391201</v>
      </c>
      <c r="AC15" s="17">
        <f>+IFERROR(Todo_Gases_Chile_ton[[#This Row],[Variación ton CO2eq]]/AA14,"")</f>
        <v>0.97342032696853376</v>
      </c>
      <c r="AD15" s="16">
        <f>(Todo_Gases_Chile_ton[[#This Row],[ton netas CO2eq]]/Todo_Gases_Chile_ton[[#This Row],[Población]])</f>
        <v>1.3048916747044952</v>
      </c>
      <c r="AE15" s="13">
        <v>15691701</v>
      </c>
      <c r="AF15" s="24">
        <v>76179429.145852208</v>
      </c>
      <c r="AG15" s="24">
        <f>+IFERROR(Todo_Gases_Chile_ton[[#This Row],[CO2e Total]]-AF14,"")</f>
        <v>1447755.612391308</v>
      </c>
      <c r="AH15" s="26">
        <f>+IFERROR(Todo_Gases_Chile_ton[[#This Row],[Variación CO2eq total]]/AF14,"")</f>
        <v>1.937271767028045E-2</v>
      </c>
      <c r="AI15" s="25">
        <f>+Todo_Gases_Chile_ton[[#This Row],[CO2e Total]]/Todo_Gases_Chile_ton[[#This Row],[Población]]</f>
        <v>4.8547591587331551</v>
      </c>
    </row>
    <row r="16" spans="1:35" x14ac:dyDescent="0.25">
      <c r="A16" s="2">
        <v>2003</v>
      </c>
      <c r="B16" s="13">
        <f>'Ark1'!B16*1000</f>
        <v>-18445697.745243002</v>
      </c>
      <c r="C16" s="13">
        <f>'Ark1'!C16*1000</f>
        <v>-18445697.745243002</v>
      </c>
      <c r="D16" s="13">
        <f>IFERROR(Todo_Gases_Chile_ton[[#This Row],[CO2]]-B15,"")</f>
        <v>-15530971.903895203</v>
      </c>
      <c r="E16" s="13">
        <f>IFERROR(Todo_Gases_Chile_ton[[#This Row],[CO2 (CO2eq)]]-C15,"")</f>
        <v>-15530971.903895203</v>
      </c>
      <c r="F16" s="16">
        <f>(Todo_Gases_Chile_ton[[#This Row],[CO2]]/Todo_Gases_Chile_ton[[#This Row],[Población]])</f>
        <v>-1.1632543671623539</v>
      </c>
      <c r="G16" s="13">
        <f>'Ark1'!G16*1000</f>
        <v>609072.34340000001</v>
      </c>
      <c r="H16" s="13">
        <f>Todo_Gases_Chile_ton[[#This Row],[CH4]]*25</f>
        <v>15226808.585000001</v>
      </c>
      <c r="I16" s="13">
        <f>IFERROR(Todo_Gases_Chile_ton[[#This Row],[CH4]]-G15,"")</f>
        <v>-23429.485199999996</v>
      </c>
      <c r="J16" s="13">
        <f>IFERROR(Todo_Gases_Chile_ton[[#This Row],[Variación CH4]]*25,"")</f>
        <v>-585737.12999999989</v>
      </c>
      <c r="K16" s="16">
        <f>(Todo_Gases_Chile_ton[[#This Row],[CH4 (CO2eq)]]/Todo_Gases_Chile_ton[[#This Row],[Población]])</f>
        <v>0.96025923383757195</v>
      </c>
      <c r="L16" s="13">
        <f>'Ark1'!L16*1000</f>
        <v>23137.841099999998</v>
      </c>
      <c r="M16" s="13">
        <f>Todo_Gases_Chile_ton[[#This Row],[N2O]]*298</f>
        <v>6895076.6477999995</v>
      </c>
      <c r="N16" s="13">
        <f>IFERROR(Todo_Gases_Chile_ton[[#This Row],[N2O]]-L15,"")</f>
        <v>-1331.7211000000025</v>
      </c>
      <c r="O16" s="13">
        <f>IFERROR(Todo_Gases_Chile_ton[[#This Row],[Variación N2O]]*298,"")</f>
        <v>-396852.88780000072</v>
      </c>
      <c r="P16" s="16">
        <f>(Todo_Gases_Chile_ton[[#This Row],[N2O (CO2eq)]]/Todo_Gases_Chile_ton[[#This Row],[Población]])</f>
        <v>0.43482920154327015</v>
      </c>
      <c r="Q16" s="13">
        <f>'Ark1'!Q16*1000</f>
        <v>28.374379148648647</v>
      </c>
      <c r="R16" s="13">
        <f>IFERROR(Todo_Gases_Chile_ton[[#This Row],[HFC]]-Q15,"")</f>
        <v>2.6701983108108074</v>
      </c>
      <c r="S16" s="13">
        <f>'Ark1'!S16*1000</f>
        <v>209970.40569999997</v>
      </c>
      <c r="T16" s="13">
        <f>IFERROR(Todo_Gases_Chile_ton[[#This Row],[HFC (CO2eq)]]-S15,"")</f>
        <v>19759.467499999999</v>
      </c>
      <c r="U16" s="17">
        <f>(Todo_Gases_Chile_ton[[#This Row],[HFC (CO2eq)]]/Todo_Gases_Chile_ton[[#This Row],[Población]])</f>
        <v>1.324151543512991E-2</v>
      </c>
      <c r="V16" s="14">
        <f>'Ark1'!V16*1000</f>
        <v>5.9848458464912273</v>
      </c>
      <c r="W16" s="17">
        <f>IFERROR(Todo_Gases_Chile_ton[[#This Row],[SF6]]-V15,"")</f>
        <v>1.773896311403508</v>
      </c>
      <c r="X16" s="13">
        <f>'Ark1'!X16*1000</f>
        <v>136454.4853</v>
      </c>
      <c r="Y16" s="13">
        <f>IFERROR(Todo_Gases_Chile_ton[[#This Row],[SF6 (CO2eq)]]-X15,"")</f>
        <v>40444.835900000005</v>
      </c>
      <c r="Z16" s="17">
        <f>(Todo_Gases_Chile_ton[[#This Row],[SF6 (CO2eq)]]/Todo_Gases_Chile_ton[[#This Row],[Población]])</f>
        <v>8.6053278187891678E-3</v>
      </c>
      <c r="AA16" s="13">
        <f>+Todo_Gases_Chile_ton[[#This Row],[CO2 (CO2eq)]]+Todo_Gases_Chile_ton[[#This Row],[CH4 (CO2eq)]]+Todo_Gases_Chile_ton[[#This Row],[N2O (CO2eq)]]+Todo_Gases_Chile_ton[[#This Row],[HFC (CO2eq)]]+Todo_Gases_Chile_ton[[#This Row],[SF6 (CO2eq)]]</f>
        <v>4022612.3785569984</v>
      </c>
      <c r="AB16" s="13">
        <f>IFERROR(Todo_Gases_Chile_ton[[#This Row],[ton netas CO2eq]]-AA15,"")</f>
        <v>-16453357.618295202</v>
      </c>
      <c r="AC16" s="17">
        <f>+IFERROR(Todo_Gases_Chile_ton[[#This Row],[Variación ton CO2eq]]/AA15,"")</f>
        <v>-0.8035447219753008</v>
      </c>
      <c r="AD16" s="16">
        <f>(Todo_Gases_Chile_ton[[#This Row],[ton netas CO2eq]]/Todo_Gases_Chile_ton[[#This Row],[Población]])</f>
        <v>0.25368091147240729</v>
      </c>
      <c r="AE16" s="13">
        <v>15856977</v>
      </c>
      <c r="AF16" s="24">
        <v>76956024.221856505</v>
      </c>
      <c r="AG16" s="24">
        <f>+IFERROR(Todo_Gases_Chile_ton[[#This Row],[CO2e Total]]-AF15,"")</f>
        <v>776595.07600429654</v>
      </c>
      <c r="AH16" s="26">
        <f>+IFERROR(Todo_Gases_Chile_ton[[#This Row],[Variación CO2eq total]]/AF15,"")</f>
        <v>1.0194288467526281E-2</v>
      </c>
      <c r="AI16" s="25">
        <f>+Todo_Gases_Chile_ton[[#This Row],[CO2e Total]]/Todo_Gases_Chile_ton[[#This Row],[Población]]</f>
        <v>4.8531333697372778</v>
      </c>
    </row>
    <row r="17" spans="1:35" x14ac:dyDescent="0.25">
      <c r="A17" s="2">
        <v>2004</v>
      </c>
      <c r="B17" s="13">
        <f>'Ark1'!B17*1000</f>
        <v>-7530059.6780318003</v>
      </c>
      <c r="C17" s="13">
        <f>'Ark1'!C17*1000</f>
        <v>-7530059.6780318003</v>
      </c>
      <c r="D17" s="13">
        <f>IFERROR(Todo_Gases_Chile_ton[[#This Row],[CO2]]-B16,"")</f>
        <v>10915638.067211201</v>
      </c>
      <c r="E17" s="13">
        <f>IFERROR(Todo_Gases_Chile_ton[[#This Row],[CO2 (CO2eq)]]-C16,"")</f>
        <v>10915638.067211201</v>
      </c>
      <c r="F17" s="16">
        <f>(Todo_Gases_Chile_ton[[#This Row],[CO2]]/Todo_Gases_Chile_ton[[#This Row],[Población]])</f>
        <v>-0.46997860260127666</v>
      </c>
      <c r="G17" s="13">
        <f>'Ark1'!G17*1000</f>
        <v>620633.06450000009</v>
      </c>
      <c r="H17" s="13">
        <f>Todo_Gases_Chile_ton[[#This Row],[CH4]]*25</f>
        <v>15515826.612500003</v>
      </c>
      <c r="I17" s="13">
        <f>IFERROR(Todo_Gases_Chile_ton[[#This Row],[CH4]]-G16,"")</f>
        <v>11560.721100000083</v>
      </c>
      <c r="J17" s="13">
        <f>IFERROR(Todo_Gases_Chile_ton[[#This Row],[Variación CH4]]*25,"")</f>
        <v>289018.02750000206</v>
      </c>
      <c r="K17" s="16">
        <f>(Todo_Gases_Chile_ton[[#This Row],[CH4 (CO2eq)]]/Todo_Gases_Chile_ton[[#This Row],[Población]])</f>
        <v>0.96839956405929239</v>
      </c>
      <c r="L17" s="13">
        <f>'Ark1'!L17*1000</f>
        <v>24793.6944</v>
      </c>
      <c r="M17" s="13">
        <f>Todo_Gases_Chile_ton[[#This Row],[N2O]]*298</f>
        <v>7388520.9312000005</v>
      </c>
      <c r="N17" s="13">
        <f>IFERROR(Todo_Gases_Chile_ton[[#This Row],[N2O]]-L16,"")</f>
        <v>1655.8533000000025</v>
      </c>
      <c r="O17" s="13">
        <f>IFERROR(Todo_Gases_Chile_ton[[#This Row],[Variación N2O]]*298,"")</f>
        <v>493444.28340000077</v>
      </c>
      <c r="P17" s="16">
        <f>(Todo_Gases_Chile_ton[[#This Row],[N2O (CO2eq)]]/Todo_Gases_Chile_ton[[#This Row],[Población]])</f>
        <v>0.46114465103990837</v>
      </c>
      <c r="Q17" s="13">
        <f>'Ark1'!Q17*1000</f>
        <v>33.22644352702703</v>
      </c>
      <c r="R17" s="13">
        <f>IFERROR(Todo_Gases_Chile_ton[[#This Row],[HFC]]-Q16,"")</f>
        <v>4.8520643783783832</v>
      </c>
      <c r="S17" s="13">
        <f>'Ark1'!S17*1000</f>
        <v>245875.68210000001</v>
      </c>
      <c r="T17" s="13">
        <f>IFERROR(Todo_Gases_Chile_ton[[#This Row],[HFC (CO2eq)]]-S16,"")</f>
        <v>35905.276400000032</v>
      </c>
      <c r="U17" s="17">
        <f>(Todo_Gases_Chile_ton[[#This Row],[HFC (CO2eq)]]/Todo_Gases_Chile_ton[[#This Row],[Población]])</f>
        <v>1.534600181511413E-2</v>
      </c>
      <c r="V17" s="14">
        <f>'Ark1'!V17*1000</f>
        <v>5.3744302587719295</v>
      </c>
      <c r="W17" s="17">
        <f>IFERROR(Todo_Gases_Chile_ton[[#This Row],[SF6]]-V16,"")</f>
        <v>-0.61041558771929783</v>
      </c>
      <c r="X17" s="13">
        <f>'Ark1'!X17*1000</f>
        <v>122537.0099</v>
      </c>
      <c r="Y17" s="13">
        <f>IFERROR(Todo_Gases_Chile_ton[[#This Row],[SF6 (CO2eq)]]-X16,"")</f>
        <v>-13917.475399999996</v>
      </c>
      <c r="Z17" s="17">
        <f>(Todo_Gases_Chile_ton[[#This Row],[SF6 (CO2eq)]]/Todo_Gases_Chile_ton[[#This Row],[Población]])</f>
        <v>7.647983567481309E-3</v>
      </c>
      <c r="AA17" s="13">
        <f>+Todo_Gases_Chile_ton[[#This Row],[CO2 (CO2eq)]]+Todo_Gases_Chile_ton[[#This Row],[CH4 (CO2eq)]]+Todo_Gases_Chile_ton[[#This Row],[N2O (CO2eq)]]+Todo_Gases_Chile_ton[[#This Row],[HFC (CO2eq)]]+Todo_Gases_Chile_ton[[#This Row],[SF6 (CO2eq)]]</f>
        <v>15742700.557668203</v>
      </c>
      <c r="AB17" s="13">
        <f>IFERROR(Todo_Gases_Chile_ton[[#This Row],[ton netas CO2eq]]-AA16,"")</f>
        <v>11720088.179111205</v>
      </c>
      <c r="AC17" s="17">
        <f>+IFERROR(Todo_Gases_Chile_ton[[#This Row],[Variación ton CO2eq]]/AA16,"")</f>
        <v>2.9135514626232677</v>
      </c>
      <c r="AD17" s="16">
        <f>(Todo_Gases_Chile_ton[[#This Row],[ton netas CO2eq]]/Todo_Gases_Chile_ton[[#This Row],[Población]])</f>
        <v>0.98255959788051961</v>
      </c>
      <c r="AE17" s="13">
        <v>16022133</v>
      </c>
      <c r="AF17" s="24">
        <v>82608998.902168199</v>
      </c>
      <c r="AG17" s="24">
        <f>+IFERROR(Todo_Gases_Chile_ton[[#This Row],[CO2e Total]]-AF16,"")</f>
        <v>5652974.6803116947</v>
      </c>
      <c r="AH17" s="26">
        <f>+IFERROR(Todo_Gases_Chile_ton[[#This Row],[Variación CO2eq total]]/AF16,"")</f>
        <v>7.3457208028506457E-2</v>
      </c>
      <c r="AI17" s="25">
        <f>+Todo_Gases_Chile_ton[[#This Row],[CO2e Total]]/Todo_Gases_Chile_ton[[#This Row],[Población]]</f>
        <v>5.1559301687339758</v>
      </c>
    </row>
    <row r="18" spans="1:35" x14ac:dyDescent="0.25">
      <c r="A18" s="2">
        <v>2005</v>
      </c>
      <c r="B18" s="13">
        <f>'Ark1'!B18*1000</f>
        <v>-5361569.0586925</v>
      </c>
      <c r="C18" s="13">
        <f>'Ark1'!C18*1000</f>
        <v>-5361569.0586925</v>
      </c>
      <c r="D18" s="13">
        <f>IFERROR(Todo_Gases_Chile_ton[[#This Row],[CO2]]-B17,"")</f>
        <v>2168490.6193393003</v>
      </c>
      <c r="E18" s="13">
        <f>IFERROR(Todo_Gases_Chile_ton[[#This Row],[CO2 (CO2eq)]]-C17,"")</f>
        <v>2168490.6193393003</v>
      </c>
      <c r="F18" s="16">
        <f>(Todo_Gases_Chile_ton[[#This Row],[CO2]]/Todo_Gases_Chile_ton[[#This Row],[Población]])</f>
        <v>-0.33129871183479037</v>
      </c>
      <c r="G18" s="13">
        <f>'Ark1'!G18*1000</f>
        <v>635475.87170000002</v>
      </c>
      <c r="H18" s="13">
        <f>Todo_Gases_Chile_ton[[#This Row],[CH4]]*25</f>
        <v>15886896.7925</v>
      </c>
      <c r="I18" s="13">
        <f>IFERROR(Todo_Gases_Chile_ton[[#This Row],[CH4]]-G17,"")</f>
        <v>14842.807199999923</v>
      </c>
      <c r="J18" s="13">
        <f>IFERROR(Todo_Gases_Chile_ton[[#This Row],[Variación CH4]]*25,"")</f>
        <v>371070.17999999807</v>
      </c>
      <c r="K18" s="16">
        <f>(Todo_Gases_Chile_ton[[#This Row],[CH4 (CO2eq)]]/Todo_Gases_Chile_ton[[#This Row],[Población]])</f>
        <v>0.98167316037351404</v>
      </c>
      <c r="L18" s="13">
        <f>'Ark1'!L18*1000</f>
        <v>24560.355300000003</v>
      </c>
      <c r="M18" s="13">
        <f>Todo_Gases_Chile_ton[[#This Row],[N2O]]*298</f>
        <v>7318985.8794000009</v>
      </c>
      <c r="N18" s="13">
        <f>IFERROR(Todo_Gases_Chile_ton[[#This Row],[N2O]]-L17,"")</f>
        <v>-233.33909999999742</v>
      </c>
      <c r="O18" s="13">
        <f>IFERROR(Todo_Gases_Chile_ton[[#This Row],[Variación N2O]]*298,"")</f>
        <v>-69535.05179999923</v>
      </c>
      <c r="P18" s="16">
        <f>(Todo_Gases_Chile_ton[[#This Row],[N2O (CO2eq)]]/Todo_Gases_Chile_ton[[#This Row],[Población]])</f>
        <v>0.45225018408576795</v>
      </c>
      <c r="Q18" s="13">
        <f>'Ark1'!Q18*1000</f>
        <v>37.810193054054054</v>
      </c>
      <c r="R18" s="13">
        <f>IFERROR(Todo_Gases_Chile_ton[[#This Row],[HFC]]-Q17,"")</f>
        <v>4.5837495270270239</v>
      </c>
      <c r="S18" s="13">
        <f>'Ark1'!S18*1000</f>
        <v>279795.42859999998</v>
      </c>
      <c r="T18" s="13">
        <f>IFERROR(Todo_Gases_Chile_ton[[#This Row],[HFC (CO2eq)]]-S17,"")</f>
        <v>33919.746499999979</v>
      </c>
      <c r="U18" s="17">
        <f>(Todo_Gases_Chile_ton[[#This Row],[HFC (CO2eq)]]/Todo_Gases_Chile_ton[[#This Row],[Población]])</f>
        <v>1.7288943601716539E-2</v>
      </c>
      <c r="V18" s="14">
        <f>'Ark1'!V18*1000</f>
        <v>4.971097223684211</v>
      </c>
      <c r="W18" s="17">
        <f>IFERROR(Todo_Gases_Chile_ton[[#This Row],[SF6]]-V17,"")</f>
        <v>-0.40333303508771845</v>
      </c>
      <c r="X18" s="13">
        <f>'Ark1'!X18*1000</f>
        <v>113341.01669999999</v>
      </c>
      <c r="Y18" s="13">
        <f>IFERROR(Todo_Gases_Chile_ton[[#This Row],[SF6 (CO2eq)]]-X17,"")</f>
        <v>-9195.9932000000117</v>
      </c>
      <c r="Z18" s="17">
        <f>(Todo_Gases_Chile_ton[[#This Row],[SF6 (CO2eq)]]/Todo_Gases_Chile_ton[[#This Row],[Población]])</f>
        <v>7.003497002407824E-3</v>
      </c>
      <c r="AA18" s="13">
        <f>+Todo_Gases_Chile_ton[[#This Row],[CO2 (CO2eq)]]+Todo_Gases_Chile_ton[[#This Row],[CH4 (CO2eq)]]+Todo_Gases_Chile_ton[[#This Row],[N2O (CO2eq)]]+Todo_Gases_Chile_ton[[#This Row],[HFC (CO2eq)]]+Todo_Gases_Chile_ton[[#This Row],[SF6 (CO2eq)]]</f>
        <v>18237450.058507498</v>
      </c>
      <c r="AB18" s="13">
        <f>IFERROR(Todo_Gases_Chile_ton[[#This Row],[ton netas CO2eq]]-AA17,"")</f>
        <v>2494749.5008392949</v>
      </c>
      <c r="AC18" s="17">
        <f>+IFERROR(Todo_Gases_Chile_ton[[#This Row],[Variación ton CO2eq]]/AA17,"")</f>
        <v>0.1584702377905621</v>
      </c>
      <c r="AD18" s="16">
        <f>(Todo_Gases_Chile_ton[[#This Row],[ton netas CO2eq]]/Todo_Gases_Chile_ton[[#This Row],[Población]])</f>
        <v>1.1269170732286158</v>
      </c>
      <c r="AE18" s="13">
        <v>16183489</v>
      </c>
      <c r="AF18" s="24">
        <v>84333730.313907504</v>
      </c>
      <c r="AG18" s="24">
        <f>+IFERROR(Todo_Gases_Chile_ton[[#This Row],[CO2e Total]]-AF17,"")</f>
        <v>1724731.4117393047</v>
      </c>
      <c r="AH18" s="26">
        <f>+IFERROR(Todo_Gases_Chile_ton[[#This Row],[Variación CO2eq total]]/AF17,"")</f>
        <v>2.0878250973381987E-2</v>
      </c>
      <c r="AI18" s="25">
        <f>+Todo_Gases_Chile_ton[[#This Row],[CO2e Total]]/Todo_Gases_Chile_ton[[#This Row],[Población]]</f>
        <v>5.2110969589998488</v>
      </c>
    </row>
    <row r="19" spans="1:35" x14ac:dyDescent="0.25">
      <c r="A19" s="2">
        <v>2006</v>
      </c>
      <c r="B19" s="13">
        <f>'Ark1'!B19*1000</f>
        <v>-7871625.8514663009</v>
      </c>
      <c r="C19" s="13">
        <f>'Ark1'!C19*1000</f>
        <v>-7871625.8514663009</v>
      </c>
      <c r="D19" s="13">
        <f>IFERROR(Todo_Gases_Chile_ton[[#This Row],[CO2]]-B18,"")</f>
        <v>-2510056.7927738009</v>
      </c>
      <c r="E19" s="13">
        <f>IFERROR(Todo_Gases_Chile_ton[[#This Row],[CO2 (CO2eq)]]-C18,"")</f>
        <v>-2510056.7927738009</v>
      </c>
      <c r="F19" s="16">
        <f>(Todo_Gases_Chile_ton[[#This Row],[CO2]]/Todo_Gases_Chile_ton[[#This Row],[Población]])</f>
        <v>-0.48150714566016173</v>
      </c>
      <c r="G19" s="13">
        <f>'Ark1'!G19*1000</f>
        <v>623549.63740000001</v>
      </c>
      <c r="H19" s="13">
        <f>Todo_Gases_Chile_ton[[#This Row],[CH4]]*25</f>
        <v>15588740.935000001</v>
      </c>
      <c r="I19" s="13">
        <f>IFERROR(Todo_Gases_Chile_ton[[#This Row],[CH4]]-G18,"")</f>
        <v>-11926.234300000011</v>
      </c>
      <c r="J19" s="13">
        <f>IFERROR(Todo_Gases_Chile_ton[[#This Row],[Variación CH4]]*25,"")</f>
        <v>-298155.85750000027</v>
      </c>
      <c r="K19" s="16">
        <f>(Todo_Gases_Chile_ton[[#This Row],[CH4 (CO2eq)]]/Todo_Gases_Chile_ton[[#This Row],[Población]])</f>
        <v>0.95356287172228349</v>
      </c>
      <c r="L19" s="13">
        <f>'Ark1'!L19*1000</f>
        <v>24853.945</v>
      </c>
      <c r="M19" s="13">
        <f>Todo_Gases_Chile_ton[[#This Row],[N2O]]*298</f>
        <v>7406475.6100000003</v>
      </c>
      <c r="N19" s="13">
        <f>IFERROR(Todo_Gases_Chile_ton[[#This Row],[N2O]]-L18,"")</f>
        <v>293.58969999999681</v>
      </c>
      <c r="O19" s="13">
        <f>IFERROR(Todo_Gases_Chile_ton[[#This Row],[Variación N2O]]*298,"")</f>
        <v>87489.730599999049</v>
      </c>
      <c r="P19" s="16">
        <f>(Todo_Gases_Chile_ton[[#This Row],[N2O (CO2eq)]]/Todo_Gases_Chile_ton[[#This Row],[Población]])</f>
        <v>0.45305391766154535</v>
      </c>
      <c r="Q19" s="13">
        <f>'Ark1'!Q19*1000</f>
        <v>51.386658135135136</v>
      </c>
      <c r="R19" s="13">
        <f>IFERROR(Todo_Gases_Chile_ton[[#This Row],[HFC]]-Q18,"")</f>
        <v>13.576465081081082</v>
      </c>
      <c r="S19" s="13">
        <f>'Ark1'!S19*1000</f>
        <v>380261.27020000003</v>
      </c>
      <c r="T19" s="13">
        <f>IFERROR(Todo_Gases_Chile_ton[[#This Row],[HFC (CO2eq)]]-S18,"")</f>
        <v>100465.84160000004</v>
      </c>
      <c r="U19" s="17">
        <f>(Todo_Gases_Chile_ton[[#This Row],[HFC (CO2eq)]]/Todo_Gases_Chile_ton[[#This Row],[Población]])</f>
        <v>2.3260571865849355E-2</v>
      </c>
      <c r="V19" s="14">
        <f>'Ark1'!V19*1000</f>
        <v>5.6901628157894732</v>
      </c>
      <c r="W19" s="17">
        <f>IFERROR(Todo_Gases_Chile_ton[[#This Row],[SF6]]-V18,"")</f>
        <v>0.71906559210526222</v>
      </c>
      <c r="X19" s="13">
        <f>'Ark1'!X19*1000</f>
        <v>129735.71219999999</v>
      </c>
      <c r="Y19" s="13">
        <f>IFERROR(Todo_Gases_Chile_ton[[#This Row],[SF6 (CO2eq)]]-X18,"")</f>
        <v>16394.695500000002</v>
      </c>
      <c r="Z19" s="17">
        <f>(Todo_Gases_Chile_ton[[#This Row],[SF6 (CO2eq)]]/Todo_Gases_Chile_ton[[#This Row],[Población]])</f>
        <v>7.9359300925073515E-3</v>
      </c>
      <c r="AA19" s="13">
        <f>+Todo_Gases_Chile_ton[[#This Row],[CO2 (CO2eq)]]+Todo_Gases_Chile_ton[[#This Row],[CH4 (CO2eq)]]+Todo_Gases_Chile_ton[[#This Row],[N2O (CO2eq)]]+Todo_Gases_Chile_ton[[#This Row],[HFC (CO2eq)]]+Todo_Gases_Chile_ton[[#This Row],[SF6 (CO2eq)]]</f>
        <v>15633587.6759337</v>
      </c>
      <c r="AB19" s="13">
        <f>IFERROR(Todo_Gases_Chile_ton[[#This Row],[ton netas CO2eq]]-AA18,"")</f>
        <v>-2603862.3825737983</v>
      </c>
      <c r="AC19" s="17">
        <f>+IFERROR(Todo_Gases_Chile_ton[[#This Row],[Variación ton CO2eq]]/AA18,"")</f>
        <v>-0.14277557302256383</v>
      </c>
      <c r="AD19" s="16">
        <f>(Todo_Gases_Chile_ton[[#This Row],[ton netas CO2eq]]/Todo_Gases_Chile_ton[[#This Row],[Población]])</f>
        <v>0.95630614568202377</v>
      </c>
      <c r="AE19" s="13">
        <v>16347890</v>
      </c>
      <c r="AF19" s="24">
        <v>85554923.347233713</v>
      </c>
      <c r="AG19" s="24">
        <f>+IFERROR(Todo_Gases_Chile_ton[[#This Row],[CO2e Total]]-AF18,"")</f>
        <v>1221193.0333262086</v>
      </c>
      <c r="AH19" s="26">
        <f>+IFERROR(Todo_Gases_Chile_ton[[#This Row],[Variación CO2eq total]]/AF18,"")</f>
        <v>1.4480481638612175E-2</v>
      </c>
      <c r="AI19" s="25">
        <f>+Todo_Gases_Chile_ton[[#This Row],[CO2e Total]]/Todo_Gases_Chile_ton[[#This Row],[Población]]</f>
        <v>5.2333924039881428</v>
      </c>
    </row>
    <row r="20" spans="1:35" x14ac:dyDescent="0.25">
      <c r="A20" s="2">
        <v>2007</v>
      </c>
      <c r="B20" s="13">
        <f>'Ark1'!B20*1000</f>
        <v>14422792.881127</v>
      </c>
      <c r="C20" s="13">
        <f>'Ark1'!C20*1000</f>
        <v>14422792.881127</v>
      </c>
      <c r="D20" s="13">
        <f>IFERROR(Todo_Gases_Chile_ton[[#This Row],[CO2]]-B19,"")</f>
        <v>22294418.732593302</v>
      </c>
      <c r="E20" s="13">
        <f>IFERROR(Todo_Gases_Chile_ton[[#This Row],[CO2 (CO2eq)]]-C19,"")</f>
        <v>22294418.732593302</v>
      </c>
      <c r="F20" s="16">
        <f>(Todo_Gases_Chile_ton[[#This Row],[CO2]]/Todo_Gases_Chile_ton[[#This Row],[Población]])</f>
        <v>0.87315966720091431</v>
      </c>
      <c r="G20" s="13">
        <f>'Ark1'!G20*1000</f>
        <v>608812.5199999999</v>
      </c>
      <c r="H20" s="13">
        <f>Todo_Gases_Chile_ton[[#This Row],[CH4]]*25</f>
        <v>15220312.999999998</v>
      </c>
      <c r="I20" s="13">
        <f>IFERROR(Todo_Gases_Chile_ton[[#This Row],[CH4]]-G19,"")</f>
        <v>-14737.117400000105</v>
      </c>
      <c r="J20" s="13">
        <f>IFERROR(Todo_Gases_Chile_ton[[#This Row],[Variación CH4]]*25,"")</f>
        <v>-368427.93500000262</v>
      </c>
      <c r="K20" s="16">
        <f>(Todo_Gases_Chile_ton[[#This Row],[CH4 (CO2eq)]]/Todo_Gases_Chile_ton[[#This Row],[Población]])</f>
        <v>0.9214417445572638</v>
      </c>
      <c r="L20" s="13">
        <f>'Ark1'!L20*1000</f>
        <v>24463.539099999998</v>
      </c>
      <c r="M20" s="13">
        <f>Todo_Gases_Chile_ton[[#This Row],[N2O]]*298</f>
        <v>7290134.6517999992</v>
      </c>
      <c r="N20" s="13">
        <f>IFERROR(Todo_Gases_Chile_ton[[#This Row],[N2O]]-L19,"")</f>
        <v>-390.40590000000157</v>
      </c>
      <c r="O20" s="13">
        <f>IFERROR(Todo_Gases_Chile_ton[[#This Row],[Variación N2O]]*298,"")</f>
        <v>-116340.95820000046</v>
      </c>
      <c r="P20" s="16">
        <f>(Todo_Gases_Chile_ton[[#This Row],[N2O (CO2eq)]]/Todo_Gases_Chile_ton[[#This Row],[Población]])</f>
        <v>0.44134666557855629</v>
      </c>
      <c r="Q20" s="13">
        <f>'Ark1'!Q20*1000</f>
        <v>65.14442831081081</v>
      </c>
      <c r="R20" s="13">
        <f>IFERROR(Todo_Gases_Chile_ton[[#This Row],[HFC]]-Q19,"")</f>
        <v>13.757770175675674</v>
      </c>
      <c r="S20" s="13">
        <f>'Ark1'!S20*1000</f>
        <v>482068.76949999999</v>
      </c>
      <c r="T20" s="13">
        <f>IFERROR(Todo_Gases_Chile_ton[[#This Row],[HFC (CO2eq)]]-S19,"")</f>
        <v>101807.49929999997</v>
      </c>
      <c r="U20" s="17">
        <f>(Todo_Gases_Chile_ton[[#This Row],[HFC (CO2eq)]]/Todo_Gases_Chile_ton[[#This Row],[Población]])</f>
        <v>2.9184569855078113E-2</v>
      </c>
      <c r="V20" s="14">
        <f>'Ark1'!V20*1000</f>
        <v>6.3691709122807021</v>
      </c>
      <c r="W20" s="17">
        <f>IFERROR(Todo_Gases_Chile_ton[[#This Row],[SF6]]-V19,"")</f>
        <v>0.67900809649122884</v>
      </c>
      <c r="X20" s="13">
        <f>'Ark1'!X20*1000</f>
        <v>145217.0968</v>
      </c>
      <c r="Y20" s="13">
        <f>IFERROR(Todo_Gases_Chile_ton[[#This Row],[SF6 (CO2eq)]]-X19,"")</f>
        <v>15481.384600000005</v>
      </c>
      <c r="Z20" s="17">
        <f>(Todo_Gases_Chile_ton[[#This Row],[SF6 (CO2eq)]]/Todo_Gases_Chile_ton[[#This Row],[Población]])</f>
        <v>8.7914811617167844E-3</v>
      </c>
      <c r="AA20" s="13">
        <f>+Todo_Gases_Chile_ton[[#This Row],[CO2 (CO2eq)]]+Todo_Gases_Chile_ton[[#This Row],[CH4 (CO2eq)]]+Todo_Gases_Chile_ton[[#This Row],[N2O (CO2eq)]]+Todo_Gases_Chile_ton[[#This Row],[HFC (CO2eq)]]+Todo_Gases_Chile_ton[[#This Row],[SF6 (CO2eq)]]</f>
        <v>37560526.399227001</v>
      </c>
      <c r="AB20" s="13">
        <f>IFERROR(Todo_Gases_Chile_ton[[#This Row],[ton netas CO2eq]]-AA19,"")</f>
        <v>21926938.723293301</v>
      </c>
      <c r="AC20" s="17">
        <f>+IFERROR(Todo_Gases_Chile_ton[[#This Row],[Variación ton CO2eq]]/AA19,"")</f>
        <v>1.4025532192490637</v>
      </c>
      <c r="AD20" s="16">
        <f>(Todo_Gases_Chile_ton[[#This Row],[ton netas CO2eq]]/Todo_Gases_Chile_ton[[#This Row],[Población]])</f>
        <v>2.2739241283535296</v>
      </c>
      <c r="AE20" s="13">
        <v>16517933</v>
      </c>
      <c r="AF20" s="24">
        <v>93655962.991126597</v>
      </c>
      <c r="AG20" s="24">
        <f>+IFERROR(Todo_Gases_Chile_ton[[#This Row],[CO2e Total]]-AF19,"")</f>
        <v>8101039.6438928843</v>
      </c>
      <c r="AH20" s="26">
        <f>+IFERROR(Todo_Gases_Chile_ton[[#This Row],[Variación CO2eq total]]/AF19,"")</f>
        <v>9.4688176050534895E-2</v>
      </c>
      <c r="AI20" s="25">
        <f>+Todo_Gases_Chile_ton[[#This Row],[CO2e Total]]/Todo_Gases_Chile_ton[[#This Row],[Población]]</f>
        <v>5.669956585435151</v>
      </c>
    </row>
    <row r="21" spans="1:35" x14ac:dyDescent="0.25">
      <c r="A21" s="2">
        <v>2008</v>
      </c>
      <c r="B21" s="13">
        <f>'Ark1'!B21*1000</f>
        <v>13497788.711318001</v>
      </c>
      <c r="C21" s="13">
        <f>'Ark1'!C21*1000</f>
        <v>13497788.711318001</v>
      </c>
      <c r="D21" s="13">
        <f>IFERROR(Todo_Gases_Chile_ton[[#This Row],[CO2]]-B20,"")</f>
        <v>-925004.1698089987</v>
      </c>
      <c r="E21" s="13">
        <f>IFERROR(Todo_Gases_Chile_ton[[#This Row],[CO2 (CO2eq)]]-C20,"")</f>
        <v>-925004.1698089987</v>
      </c>
      <c r="F21" s="16">
        <f>(Todo_Gases_Chile_ton[[#This Row],[CO2]]/Todo_Gases_Chile_ton[[#This Row],[Población]])</f>
        <v>0.80835953813417072</v>
      </c>
      <c r="G21" s="13">
        <f>'Ark1'!G21*1000</f>
        <v>581604.1823000001</v>
      </c>
      <c r="H21" s="13">
        <f>Todo_Gases_Chile_ton[[#This Row],[CH4]]*25</f>
        <v>14540104.557500003</v>
      </c>
      <c r="I21" s="13">
        <f>IFERROR(Todo_Gases_Chile_ton[[#This Row],[CH4]]-G20,"")</f>
        <v>-27208.3376999998</v>
      </c>
      <c r="J21" s="13">
        <f>IFERROR(Todo_Gases_Chile_ton[[#This Row],[Variación CH4]]*25,"")</f>
        <v>-680208.442499995</v>
      </c>
      <c r="K21" s="16">
        <f>(Todo_Gases_Chile_ton[[#This Row],[CH4 (CO2eq)]]/Todo_Gases_Chile_ton[[#This Row],[Población]])</f>
        <v>0.87078205592800106</v>
      </c>
      <c r="L21" s="13">
        <f>'Ark1'!L21*1000</f>
        <v>24798.7444</v>
      </c>
      <c r="M21" s="13">
        <f>Todo_Gases_Chile_ton[[#This Row],[N2O]]*298</f>
        <v>7390025.8311999999</v>
      </c>
      <c r="N21" s="13">
        <f>IFERROR(Todo_Gases_Chile_ton[[#This Row],[N2O]]-L20,"")</f>
        <v>335.20530000000144</v>
      </c>
      <c r="O21" s="13">
        <f>IFERROR(Todo_Gases_Chile_ton[[#This Row],[Variación N2O]]*298,"")</f>
        <v>99891.17940000043</v>
      </c>
      <c r="P21" s="16">
        <f>(Todo_Gases_Chile_ton[[#This Row],[N2O (CO2eq)]]/Todo_Gases_Chile_ton[[#This Row],[Población]])</f>
        <v>0.44257603934038076</v>
      </c>
      <c r="Q21" s="13">
        <f>'Ark1'!Q21*1000</f>
        <v>86.965939702702698</v>
      </c>
      <c r="R21" s="13">
        <f>IFERROR(Todo_Gases_Chile_ton[[#This Row],[HFC]]-Q20,"")</f>
        <v>21.821511391891889</v>
      </c>
      <c r="S21" s="13">
        <f>'Ark1'!S21*1000</f>
        <v>643547.95380000002</v>
      </c>
      <c r="T21" s="13">
        <f>IFERROR(Todo_Gases_Chile_ton[[#This Row],[HFC (CO2eq)]]-S20,"")</f>
        <v>161479.18430000002</v>
      </c>
      <c r="U21" s="17">
        <f>(Todo_Gases_Chile_ton[[#This Row],[HFC (CO2eq)]]/Todo_Gases_Chile_ton[[#This Row],[Población]])</f>
        <v>3.8540989033614942E-2</v>
      </c>
      <c r="V21" s="14">
        <f>'Ark1'!V21*1000</f>
        <v>7.844834714912281</v>
      </c>
      <c r="W21" s="17">
        <f>IFERROR(Todo_Gases_Chile_ton[[#This Row],[SF6]]-V20,"")</f>
        <v>1.4756638026315789</v>
      </c>
      <c r="X21" s="13">
        <f>'Ark1'!X21*1000</f>
        <v>178862.23149999999</v>
      </c>
      <c r="Y21" s="13">
        <f>IFERROR(Todo_Gases_Chile_ton[[#This Row],[SF6 (CO2eq)]]-X20,"")</f>
        <v>33645.134699999995</v>
      </c>
      <c r="Z21" s="17">
        <f>(Todo_Gases_Chile_ton[[#This Row],[SF6 (CO2eq)]]/Todo_Gases_Chile_ton[[#This Row],[Población]])</f>
        <v>1.0711753898158998E-2</v>
      </c>
      <c r="AA21" s="13">
        <f>+Todo_Gases_Chile_ton[[#This Row],[CO2 (CO2eq)]]+Todo_Gases_Chile_ton[[#This Row],[CH4 (CO2eq)]]+Todo_Gases_Chile_ton[[#This Row],[N2O (CO2eq)]]+Todo_Gases_Chile_ton[[#This Row],[HFC (CO2eq)]]+Todo_Gases_Chile_ton[[#This Row],[SF6 (CO2eq)]]</f>
        <v>36250329.28531801</v>
      </c>
      <c r="AB21" s="13">
        <f>IFERROR(Todo_Gases_Chile_ton[[#This Row],[ton netas CO2eq]]-AA20,"")</f>
        <v>-1310197.1139089912</v>
      </c>
      <c r="AC21" s="17">
        <f>+IFERROR(Todo_Gases_Chile_ton[[#This Row],[Variación ton CO2eq]]/AA20,"")</f>
        <v>-3.4882288389226496E-2</v>
      </c>
      <c r="AD21" s="16">
        <f>(Todo_Gases_Chile_ton[[#This Row],[ton netas CO2eq]]/Todo_Gases_Chile_ton[[#This Row],[Población]])</f>
        <v>2.1709703763343269</v>
      </c>
      <c r="AE21" s="13">
        <v>16697754</v>
      </c>
      <c r="AF21" s="24">
        <v>94261927.283018202</v>
      </c>
      <c r="AG21" s="24">
        <f>+IFERROR(Todo_Gases_Chile_ton[[#This Row],[CO2e Total]]-AF20,"")</f>
        <v>605964.29189160466</v>
      </c>
      <c r="AH21" s="26">
        <f>+IFERROR(Todo_Gases_Chile_ton[[#This Row],[Variación CO2eq total]]/AF20,"")</f>
        <v>6.4701090303136014E-3</v>
      </c>
      <c r="AI21" s="25">
        <f>+Todo_Gases_Chile_ton[[#This Row],[CO2e Total]]/Todo_Gases_Chile_ton[[#This Row],[Población]]</f>
        <v>5.6451860102273752</v>
      </c>
    </row>
    <row r="22" spans="1:35" x14ac:dyDescent="0.25">
      <c r="A22" s="2">
        <v>2009</v>
      </c>
      <c r="B22" s="13">
        <f>'Ark1'!B22*1000</f>
        <v>5877056.3193751993</v>
      </c>
      <c r="C22" s="13">
        <f>'Ark1'!C22*1000</f>
        <v>5877056.3193751993</v>
      </c>
      <c r="D22" s="13">
        <f>IFERROR(Todo_Gases_Chile_ton[[#This Row],[CO2]]-B21,"")</f>
        <v>-7620732.3919428019</v>
      </c>
      <c r="E22" s="13">
        <f>IFERROR(Todo_Gases_Chile_ton[[#This Row],[CO2 (CO2eq)]]-C21,"")</f>
        <v>-7620732.3919428019</v>
      </c>
      <c r="F22" s="16">
        <f>(Todo_Gases_Chile_ton[[#This Row],[CO2]]/Todo_Gases_Chile_ton[[#This Row],[Población]])</f>
        <v>0.34814461015909048</v>
      </c>
      <c r="G22" s="13">
        <f>'Ark1'!G22*1000</f>
        <v>567286.96739999996</v>
      </c>
      <c r="H22" s="13">
        <f>Todo_Gases_Chile_ton[[#This Row],[CH4]]*25</f>
        <v>14182174.184999999</v>
      </c>
      <c r="I22" s="13">
        <f>IFERROR(Todo_Gases_Chile_ton[[#This Row],[CH4]]-G21,"")</f>
        <v>-14317.214900000137</v>
      </c>
      <c r="J22" s="13">
        <f>IFERROR(Todo_Gases_Chile_ton[[#This Row],[Variación CH4]]*25,"")</f>
        <v>-357930.37250000343</v>
      </c>
      <c r="K22" s="16">
        <f>(Todo_Gases_Chile_ton[[#This Row],[CH4 (CO2eq)]]/Todo_Gases_Chile_ton[[#This Row],[Población]])</f>
        <v>0.84012254341813941</v>
      </c>
      <c r="L22" s="13">
        <f>'Ark1'!L22*1000</f>
        <v>24719.2183</v>
      </c>
      <c r="M22" s="13">
        <f>Todo_Gases_Chile_ton[[#This Row],[N2O]]*298</f>
        <v>7366327.0534000006</v>
      </c>
      <c r="N22" s="13">
        <f>IFERROR(Todo_Gases_Chile_ton[[#This Row],[N2O]]-L21,"")</f>
        <v>-79.526099999999133</v>
      </c>
      <c r="O22" s="13">
        <f>IFERROR(Todo_Gases_Chile_ton[[#This Row],[Variación N2O]]*298,"")</f>
        <v>-23698.777799999742</v>
      </c>
      <c r="P22" s="16">
        <f>(Todo_Gases_Chile_ton[[#This Row],[N2O (CO2eq)]]/Todo_Gases_Chile_ton[[#This Row],[Población]])</f>
        <v>0.43636591534024072</v>
      </c>
      <c r="Q22" s="13">
        <f>'Ark1'!Q22*1000</f>
        <v>102.36078162162163</v>
      </c>
      <c r="R22" s="13">
        <f>IFERROR(Todo_Gases_Chile_ton[[#This Row],[HFC]]-Q21,"")</f>
        <v>15.394841918918928</v>
      </c>
      <c r="S22" s="13">
        <f>'Ark1'!S22*1000</f>
        <v>757469.78399999999</v>
      </c>
      <c r="T22" s="13">
        <f>IFERROR(Todo_Gases_Chile_ton[[#This Row],[HFC (CO2eq)]]-S21,"")</f>
        <v>113921.83019999997</v>
      </c>
      <c r="U22" s="17">
        <f>(Todo_Gases_Chile_ton[[#This Row],[HFC (CO2eq)]]/Todo_Gases_Chile_ton[[#This Row],[Población]])</f>
        <v>4.4870936796808827E-2</v>
      </c>
      <c r="V22" s="14">
        <f>'Ark1'!V22*1000</f>
        <v>7.3990356315789478</v>
      </c>
      <c r="W22" s="17">
        <f>IFERROR(Todo_Gases_Chile_ton[[#This Row],[SF6]]-V21,"")</f>
        <v>-0.44579908333333318</v>
      </c>
      <c r="X22" s="13">
        <f>'Ark1'!X22*1000</f>
        <v>168698.01240000001</v>
      </c>
      <c r="Y22" s="13">
        <f>IFERROR(Todo_Gases_Chile_ton[[#This Row],[SF6 (CO2eq)]]-X21,"")</f>
        <v>-10164.219099999988</v>
      </c>
      <c r="Z22" s="17">
        <f>(Todo_Gases_Chile_ton[[#This Row],[SF6 (CO2eq)]]/Todo_Gases_Chile_ton[[#This Row],[Población]])</f>
        <v>9.9933198815857615E-3</v>
      </c>
      <c r="AA22" s="13">
        <f>+Todo_Gases_Chile_ton[[#This Row],[CO2 (CO2eq)]]+Todo_Gases_Chile_ton[[#This Row],[CH4 (CO2eq)]]+Todo_Gases_Chile_ton[[#This Row],[N2O (CO2eq)]]+Todo_Gases_Chile_ton[[#This Row],[HFC (CO2eq)]]+Todo_Gases_Chile_ton[[#This Row],[SF6 (CO2eq)]]</f>
        <v>28351725.354175203</v>
      </c>
      <c r="AB22" s="13">
        <f>IFERROR(Todo_Gases_Chile_ton[[#This Row],[ton netas CO2eq]]-AA21,"")</f>
        <v>-7898603.931142807</v>
      </c>
      <c r="AC22" s="17">
        <f>+IFERROR(Todo_Gases_Chile_ton[[#This Row],[Variación ton CO2eq]]/AA21,"")</f>
        <v>-0.2178905429789261</v>
      </c>
      <c r="AD22" s="16">
        <f>(Todo_Gases_Chile_ton[[#This Row],[ton netas CO2eq]]/Todo_Gases_Chile_ton[[#This Row],[Población]])</f>
        <v>1.6794973255958656</v>
      </c>
      <c r="AE22" s="13">
        <v>16881078</v>
      </c>
      <c r="AF22" s="24">
        <v>90886579.160675198</v>
      </c>
      <c r="AG22" s="24">
        <f>+IFERROR(Todo_Gases_Chile_ton[[#This Row],[CO2e Total]]-AF21,"")</f>
        <v>-3375348.1223430037</v>
      </c>
      <c r="AH22" s="26">
        <f>+IFERROR(Todo_Gases_Chile_ton[[#This Row],[Variación CO2eq total]]/AF21,"")</f>
        <v>-3.5808180668836072E-2</v>
      </c>
      <c r="AI22" s="25">
        <f>+Todo_Gases_Chile_ton[[#This Row],[CO2e Total]]/Todo_Gases_Chile_ton[[#This Row],[Población]]</f>
        <v>5.3839321849395638</v>
      </c>
    </row>
    <row r="23" spans="1:35" x14ac:dyDescent="0.25">
      <c r="A23" s="2">
        <v>2010</v>
      </c>
      <c r="B23" s="13">
        <f>'Ark1'!B23*1000</f>
        <v>-2080380.8746531999</v>
      </c>
      <c r="C23" s="13">
        <f>'Ark1'!C23*1000</f>
        <v>-2080380.8746531999</v>
      </c>
      <c r="D23" s="13">
        <f>IFERROR(Todo_Gases_Chile_ton[[#This Row],[CO2]]-B22,"")</f>
        <v>-7957437.194028399</v>
      </c>
      <c r="E23" s="13">
        <f>IFERROR(Todo_Gases_Chile_ton[[#This Row],[CO2 (CO2eq)]]-C22,"")</f>
        <v>-7957437.194028399</v>
      </c>
      <c r="F23" s="16">
        <f>(Todo_Gases_Chile_ton[[#This Row],[CO2]]/Todo_Gases_Chile_ton[[#This Row],[Población]])</f>
        <v>-0.1219168878683787</v>
      </c>
      <c r="G23" s="13">
        <f>'Ark1'!G23*1000</f>
        <v>542512.61380000005</v>
      </c>
      <c r="H23" s="13">
        <f>Todo_Gases_Chile_ton[[#This Row],[CH4]]*25</f>
        <v>13562815.345000001</v>
      </c>
      <c r="I23" s="13">
        <f>IFERROR(Todo_Gases_Chile_ton[[#This Row],[CH4]]-G22,"")</f>
        <v>-24774.353599999915</v>
      </c>
      <c r="J23" s="13">
        <f>IFERROR(Todo_Gases_Chile_ton[[#This Row],[Variación CH4]]*25,"")</f>
        <v>-619358.83999999787</v>
      </c>
      <c r="K23" s="16">
        <f>(Todo_Gases_Chile_ton[[#This Row],[CH4 (CO2eq)]]/Todo_Gases_Chile_ton[[#This Row],[Población]])</f>
        <v>0.7948238025748704</v>
      </c>
      <c r="L23" s="13">
        <f>'Ark1'!L23*1000</f>
        <v>24181.7971</v>
      </c>
      <c r="M23" s="13">
        <f>Todo_Gases_Chile_ton[[#This Row],[N2O]]*298</f>
        <v>7206175.5357999997</v>
      </c>
      <c r="N23" s="13">
        <f>IFERROR(Todo_Gases_Chile_ton[[#This Row],[N2O]]-L22,"")</f>
        <v>-537.42120000000068</v>
      </c>
      <c r="O23" s="13">
        <f>IFERROR(Todo_Gases_Chile_ton[[#This Row],[Variación N2O]]*298,"")</f>
        <v>-160151.5176000002</v>
      </c>
      <c r="P23" s="16">
        <f>(Todo_Gases_Chile_ton[[#This Row],[N2O (CO2eq)]]/Todo_Gases_Chile_ton[[#This Row],[Población]])</f>
        <v>0.42230463924277217</v>
      </c>
      <c r="Q23" s="13">
        <f>'Ark1'!Q23*1000</f>
        <v>135.14490662162163</v>
      </c>
      <c r="R23" s="13">
        <f>IFERROR(Todo_Gases_Chile_ton[[#This Row],[HFC]]-Q22,"")</f>
        <v>32.784125000000003</v>
      </c>
      <c r="S23" s="13">
        <f>'Ark1'!S23*1000</f>
        <v>1000072.309</v>
      </c>
      <c r="T23" s="13">
        <f>IFERROR(Todo_Gases_Chile_ton[[#This Row],[HFC (CO2eq)]]-S22,"")</f>
        <v>242602.52500000002</v>
      </c>
      <c r="U23" s="17">
        <f>(Todo_Gases_Chile_ton[[#This Row],[HFC (CO2eq)]]/Todo_Gases_Chile_ton[[#This Row],[Población]])</f>
        <v>5.8607394944903364E-2</v>
      </c>
      <c r="V23" s="14">
        <f>'Ark1'!V23*1000</f>
        <v>10.644347767543859</v>
      </c>
      <c r="W23" s="17">
        <f>IFERROR(Todo_Gases_Chile_ton[[#This Row],[SF6]]-V22,"")</f>
        <v>3.2453121359649115</v>
      </c>
      <c r="X23" s="13">
        <f>'Ark1'!X23*1000</f>
        <v>242691.12910000002</v>
      </c>
      <c r="Y23" s="13">
        <f>IFERROR(Todo_Gases_Chile_ton[[#This Row],[SF6 (CO2eq)]]-X22,"")</f>
        <v>73993.116700000013</v>
      </c>
      <c r="Z23" s="17">
        <f>(Todo_Gases_Chile_ton[[#This Row],[SF6 (CO2eq)]]/Todo_Gases_Chile_ton[[#This Row],[Población]])</f>
        <v>1.4222466440462387E-2</v>
      </c>
      <c r="AA23" s="13">
        <f>+Todo_Gases_Chile_ton[[#This Row],[CO2 (CO2eq)]]+Todo_Gases_Chile_ton[[#This Row],[CH4 (CO2eq)]]+Todo_Gases_Chile_ton[[#This Row],[N2O (CO2eq)]]+Todo_Gases_Chile_ton[[#This Row],[HFC (CO2eq)]]+Todo_Gases_Chile_ton[[#This Row],[SF6 (CO2eq)]]</f>
        <v>19931373.444246799</v>
      </c>
      <c r="AB23" s="13">
        <f>IFERROR(Todo_Gases_Chile_ton[[#This Row],[ton netas CO2eq]]-AA22,"")</f>
        <v>-8420351.9099284038</v>
      </c>
      <c r="AC23" s="17">
        <f>+IFERROR(Todo_Gases_Chile_ton[[#This Row],[Variación ton CO2eq]]/AA22,"")</f>
        <v>-0.29699610181531277</v>
      </c>
      <c r="AD23" s="16">
        <f>(Todo_Gases_Chile_ton[[#This Row],[ton netas CO2eq]]/Todo_Gases_Chile_ton[[#This Row],[Población]])</f>
        <v>1.1680414153346295</v>
      </c>
      <c r="AE23" s="13">
        <v>17063927</v>
      </c>
      <c r="AF23" s="24">
        <v>91862257.760846809</v>
      </c>
      <c r="AG23" s="24">
        <f>+IFERROR(Todo_Gases_Chile_ton[[#This Row],[CO2e Total]]-AF22,"")</f>
        <v>975678.60017161071</v>
      </c>
      <c r="AH23" s="26">
        <f>+IFERROR(Todo_Gases_Chile_ton[[#This Row],[Variación CO2eq total]]/AF22,"")</f>
        <v>1.0735122932140979E-2</v>
      </c>
      <c r="AI23" s="25">
        <f>+Todo_Gases_Chile_ton[[#This Row],[CO2e Total]]/Todo_Gases_Chile_ton[[#This Row],[Población]]</f>
        <v>5.3834183515228826</v>
      </c>
    </row>
    <row r="24" spans="1:35" x14ac:dyDescent="0.25">
      <c r="A24" s="2">
        <v>2011</v>
      </c>
      <c r="B24" s="13">
        <f>'Ark1'!B24*1000</f>
        <v>12727330.102596002</v>
      </c>
      <c r="C24" s="13">
        <f>'Ark1'!C24*1000</f>
        <v>12727330.102596002</v>
      </c>
      <c r="D24" s="13">
        <f>IFERROR(Todo_Gases_Chile_ton[[#This Row],[CO2]]-B23,"")</f>
        <v>14807710.977249201</v>
      </c>
      <c r="E24" s="13">
        <f>IFERROR(Todo_Gases_Chile_ton[[#This Row],[CO2 (CO2eq)]]-C23,"")</f>
        <v>14807710.977249201</v>
      </c>
      <c r="F24" s="16">
        <f>(Todo_Gases_Chile_ton[[#This Row],[CO2]]/Todo_Gases_Chile_ton[[#This Row],[Población]])</f>
        <v>0.7376383921462647</v>
      </c>
      <c r="G24" s="13">
        <f>'Ark1'!G24*1000</f>
        <v>532346.52119999996</v>
      </c>
      <c r="H24" s="13">
        <f>Todo_Gases_Chile_ton[[#This Row],[CH4]]*25</f>
        <v>13308663.029999999</v>
      </c>
      <c r="I24" s="13">
        <f>IFERROR(Todo_Gases_Chile_ton[[#This Row],[CH4]]-G23,"")</f>
        <v>-10166.092600000091</v>
      </c>
      <c r="J24" s="13">
        <f>IFERROR(Todo_Gases_Chile_ton[[#This Row],[Variación CH4]]*25,"")</f>
        <v>-254152.31500000227</v>
      </c>
      <c r="K24" s="16">
        <f>(Todo_Gases_Chile_ton[[#This Row],[CH4 (CO2eq)]]/Todo_Gases_Chile_ton[[#This Row],[Población]])</f>
        <v>0.7713307284348081</v>
      </c>
      <c r="L24" s="13">
        <f>'Ark1'!L24*1000</f>
        <v>22637.913099999998</v>
      </c>
      <c r="M24" s="13">
        <f>Todo_Gases_Chile_ton[[#This Row],[N2O]]*298</f>
        <v>6746098.1037999997</v>
      </c>
      <c r="N24" s="13">
        <f>IFERROR(Todo_Gases_Chile_ton[[#This Row],[N2O]]-L23,"")</f>
        <v>-1543.8840000000018</v>
      </c>
      <c r="O24" s="13">
        <f>IFERROR(Todo_Gases_Chile_ton[[#This Row],[Variación N2O]]*298,"")</f>
        <v>-460077.43200000055</v>
      </c>
      <c r="P24" s="16">
        <f>(Todo_Gases_Chile_ton[[#This Row],[N2O (CO2eq)]]/Todo_Gases_Chile_ton[[#This Row],[Población]])</f>
        <v>0.3909838841638123</v>
      </c>
      <c r="Q24" s="13">
        <f>'Ark1'!Q24*1000</f>
        <v>178.13445544594595</v>
      </c>
      <c r="R24" s="13">
        <f>IFERROR(Todo_Gases_Chile_ton[[#This Row],[HFC]]-Q23,"")</f>
        <v>42.989548824324316</v>
      </c>
      <c r="S24" s="13">
        <f>'Ark1'!S24*1000</f>
        <v>1318194.9702999999</v>
      </c>
      <c r="T24" s="13">
        <f>IFERROR(Todo_Gases_Chile_ton[[#This Row],[HFC (CO2eq)]]-S23,"")</f>
        <v>318122.66129999992</v>
      </c>
      <c r="U24" s="17">
        <f>(Todo_Gases_Chile_ton[[#This Row],[HFC (CO2eq)]]/Todo_Gases_Chile_ton[[#This Row],[Población]])</f>
        <v>7.639867989509079E-2</v>
      </c>
      <c r="V24" s="14">
        <f>'Ark1'!V24*1000</f>
        <v>10.738940153508773</v>
      </c>
      <c r="W24" s="17">
        <f>IFERROR(Todo_Gases_Chile_ton[[#This Row],[SF6]]-V23,"")</f>
        <v>9.4592385964913817E-2</v>
      </c>
      <c r="X24" s="13">
        <f>'Ark1'!X24*1000</f>
        <v>244847.83550000002</v>
      </c>
      <c r="Y24" s="13">
        <f>IFERROR(Todo_Gases_Chile_ton[[#This Row],[SF6 (CO2eq)]]-X23,"")</f>
        <v>2156.7063999999955</v>
      </c>
      <c r="Z24" s="17">
        <f>(Todo_Gases_Chile_ton[[#This Row],[SF6 (CO2eq)]]/Todo_Gases_Chile_ton[[#This Row],[Población]])</f>
        <v>1.4190656032554238E-2</v>
      </c>
      <c r="AA24" s="13">
        <f>+Todo_Gases_Chile_ton[[#This Row],[CO2 (CO2eq)]]+Todo_Gases_Chile_ton[[#This Row],[CH4 (CO2eq)]]+Todo_Gases_Chile_ton[[#This Row],[N2O (CO2eq)]]+Todo_Gases_Chile_ton[[#This Row],[HFC (CO2eq)]]+Todo_Gases_Chile_ton[[#This Row],[SF6 (CO2eq)]]</f>
        <v>34345134.042195998</v>
      </c>
      <c r="AB24" s="13">
        <f>IFERROR(Todo_Gases_Chile_ton[[#This Row],[ton netas CO2eq]]-AA23,"")</f>
        <v>14413760.597949199</v>
      </c>
      <c r="AC24" s="17">
        <f>+IFERROR(Todo_Gases_Chile_ton[[#This Row],[Variación ton CO2eq]]/AA23,"")</f>
        <v>0.72316946136543037</v>
      </c>
      <c r="AD24" s="16">
        <f>(Todo_Gases_Chile_ton[[#This Row],[ton netas CO2eq]]/Todo_Gases_Chile_ton[[#This Row],[Población]])</f>
        <v>1.99054234067253</v>
      </c>
      <c r="AE24" s="13">
        <v>17254159</v>
      </c>
      <c r="AF24" s="24">
        <v>99861190.272896111</v>
      </c>
      <c r="AG24" s="24">
        <f>+IFERROR(Todo_Gases_Chile_ton[[#This Row],[CO2e Total]]-AF23,"")</f>
        <v>7998932.5120493025</v>
      </c>
      <c r="AH24" s="26">
        <f>+IFERROR(Todo_Gases_Chile_ton[[#This Row],[Variación CO2eq total]]/AF23,"")</f>
        <v>8.7075287577555907E-2</v>
      </c>
      <c r="AI24" s="25">
        <f>+Todo_Gases_Chile_ton[[#This Row],[CO2e Total]]/Todo_Gases_Chile_ton[[#This Row],[Población]]</f>
        <v>5.7876590955778324</v>
      </c>
    </row>
    <row r="25" spans="1:35" x14ac:dyDescent="0.25">
      <c r="A25" s="2">
        <v>2012</v>
      </c>
      <c r="B25" s="13">
        <f>'Ark1'!B25*1000</f>
        <v>20168144.297086</v>
      </c>
      <c r="C25" s="13">
        <f>'Ark1'!C25*1000</f>
        <v>20168144.297086</v>
      </c>
      <c r="D25" s="13">
        <f>IFERROR(Todo_Gases_Chile_ton[[#This Row],[CO2]]-B24,"")</f>
        <v>7440814.1944899987</v>
      </c>
      <c r="E25" s="13">
        <f>IFERROR(Todo_Gases_Chile_ton[[#This Row],[CO2 (CO2eq)]]-C24,"")</f>
        <v>7440814.1944899987</v>
      </c>
      <c r="F25" s="16">
        <f>(Todo_Gases_Chile_ton[[#This Row],[CO2]]/Todo_Gases_Chile_ton[[#This Row],[Población]])</f>
        <v>1.1561988536059669</v>
      </c>
      <c r="G25" s="13">
        <f>'Ark1'!G25*1000</f>
        <v>561504.80290000001</v>
      </c>
      <c r="H25" s="13">
        <f>Todo_Gases_Chile_ton[[#This Row],[CH4]]*25</f>
        <v>14037620.0725</v>
      </c>
      <c r="I25" s="13">
        <f>IFERROR(Todo_Gases_Chile_ton[[#This Row],[CH4]]-G24,"")</f>
        <v>29158.28170000005</v>
      </c>
      <c r="J25" s="13">
        <f>IFERROR(Todo_Gases_Chile_ton[[#This Row],[Variación CH4]]*25,"")</f>
        <v>728957.04250000126</v>
      </c>
      <c r="K25" s="16">
        <f>(Todo_Gases_Chile_ton[[#This Row],[CH4 (CO2eq)]]/Todo_Gases_Chile_ton[[#This Row],[Población]])</f>
        <v>0.80474831973141159</v>
      </c>
      <c r="L25" s="13">
        <f>'Ark1'!L25*1000</f>
        <v>23622.035899999999</v>
      </c>
      <c r="M25" s="13">
        <f>Todo_Gases_Chile_ton[[#This Row],[N2O]]*298</f>
        <v>7039366.6981999995</v>
      </c>
      <c r="N25" s="13">
        <f>IFERROR(Todo_Gases_Chile_ton[[#This Row],[N2O]]-L24,"")</f>
        <v>984.12280000000101</v>
      </c>
      <c r="O25" s="13">
        <f>IFERROR(Todo_Gases_Chile_ton[[#This Row],[Variación N2O]]*298,"")</f>
        <v>293268.59440000029</v>
      </c>
      <c r="P25" s="16">
        <f>(Todo_Gases_Chile_ton[[#This Row],[N2O (CO2eq)]]/Todo_Gases_Chile_ton[[#This Row],[Población]])</f>
        <v>0.40355263164924954</v>
      </c>
      <c r="Q25" s="13">
        <f>'Ark1'!Q25*1000</f>
        <v>213.91451393243244</v>
      </c>
      <c r="R25" s="13">
        <f>IFERROR(Todo_Gases_Chile_ton[[#This Row],[HFC]]-Q24,"")</f>
        <v>35.780058486486496</v>
      </c>
      <c r="S25" s="13">
        <f>'Ark1'!S25*1000</f>
        <v>1582967.4031</v>
      </c>
      <c r="T25" s="13">
        <f>IFERROR(Todo_Gases_Chile_ton[[#This Row],[HFC (CO2eq)]]-S24,"")</f>
        <v>264772.43280000007</v>
      </c>
      <c r="U25" s="17">
        <f>(Todo_Gases_Chile_ton[[#This Row],[HFC (CO2eq)]]/Todo_Gases_Chile_ton[[#This Row],[Población]])</f>
        <v>9.0748314262322841E-2</v>
      </c>
      <c r="V25" s="14">
        <f>'Ark1'!V25*1000</f>
        <v>10.222641188596493</v>
      </c>
      <c r="W25" s="17">
        <f>IFERROR(Todo_Gases_Chile_ton[[#This Row],[SF6]]-V24,"")</f>
        <v>-0.51629896491228067</v>
      </c>
      <c r="X25" s="13">
        <f>'Ark1'!X25*1000</f>
        <v>233076.21910000002</v>
      </c>
      <c r="Y25" s="13">
        <f>IFERROR(Todo_Gases_Chile_ton[[#This Row],[SF6 (CO2eq)]]-X24,"")</f>
        <v>-11771.616399999999</v>
      </c>
      <c r="Z25" s="17">
        <f>(Todo_Gases_Chile_ton[[#This Row],[SF6 (CO2eq)]]/Todo_Gases_Chile_ton[[#This Row],[Población]])</f>
        <v>1.3361787448395508E-2</v>
      </c>
      <c r="AA25" s="13">
        <f>+Todo_Gases_Chile_ton[[#This Row],[CO2 (CO2eq)]]+Todo_Gases_Chile_ton[[#This Row],[CH4 (CO2eq)]]+Todo_Gases_Chile_ton[[#This Row],[N2O (CO2eq)]]+Todo_Gases_Chile_ton[[#This Row],[HFC (CO2eq)]]+Todo_Gases_Chile_ton[[#This Row],[SF6 (CO2eq)]]</f>
        <v>43061174.689985998</v>
      </c>
      <c r="AB25" s="13">
        <f>IFERROR(Todo_Gases_Chile_ton[[#This Row],[ton netas CO2eq]]-AA24,"")</f>
        <v>8716040.6477899998</v>
      </c>
      <c r="AC25" s="17">
        <f>+IFERROR(Todo_Gases_Chile_ton[[#This Row],[Variación ton CO2eq]]/AA24,"")</f>
        <v>0.25377803554592571</v>
      </c>
      <c r="AD25" s="16">
        <f>(Todo_Gases_Chile_ton[[#This Row],[ton netas CO2eq]]/Todo_Gases_Chile_ton[[#This Row],[Población]])</f>
        <v>2.4686099066973464</v>
      </c>
      <c r="AE25" s="13">
        <v>17443491</v>
      </c>
      <c r="AF25" s="24">
        <v>104492362.62408572</v>
      </c>
      <c r="AG25" s="24">
        <f>+IFERROR(Todo_Gases_Chile_ton[[#This Row],[CO2e Total]]-AF24,"")</f>
        <v>4631172.3511896133</v>
      </c>
      <c r="AH25" s="26">
        <f>+IFERROR(Todo_Gases_Chile_ton[[#This Row],[Variación CO2eq total]]/AF24,"")</f>
        <v>4.6376098047036657E-2</v>
      </c>
      <c r="AI25" s="25">
        <f>+Todo_Gases_Chile_ton[[#This Row],[CO2e Total]]/Todo_Gases_Chile_ton[[#This Row],[Población]]</f>
        <v>5.9903354565944236</v>
      </c>
    </row>
    <row r="26" spans="1:35" x14ac:dyDescent="0.25">
      <c r="A26" s="2">
        <v>2013</v>
      </c>
      <c r="B26" s="13">
        <f>'Ark1'!B26*1000</f>
        <v>9056297.3939031996</v>
      </c>
      <c r="C26" s="13">
        <f>'Ark1'!C26*1000</f>
        <v>9056297.3939031996</v>
      </c>
      <c r="D26" s="13">
        <f>IFERROR(Todo_Gases_Chile_ton[[#This Row],[CO2]]-B25,"")</f>
        <v>-11111846.903182801</v>
      </c>
      <c r="E26" s="13">
        <f>IFERROR(Todo_Gases_Chile_ton[[#This Row],[CO2 (CO2eq)]]-C25,"")</f>
        <v>-11111846.903182801</v>
      </c>
      <c r="F26" s="16">
        <f>(Todo_Gases_Chile_ton[[#This Row],[CO2]]/Todo_Gases_Chile_ton[[#This Row],[Población]])</f>
        <v>0.51421461429340221</v>
      </c>
      <c r="G26" s="13">
        <f>'Ark1'!G26*1000</f>
        <v>570632.80900000001</v>
      </c>
      <c r="H26" s="13">
        <f>Todo_Gases_Chile_ton[[#This Row],[CH4]]*25</f>
        <v>14265820.225</v>
      </c>
      <c r="I26" s="13">
        <f>IFERROR(Todo_Gases_Chile_ton[[#This Row],[CH4]]-G25,"")</f>
        <v>9128.0060999999987</v>
      </c>
      <c r="J26" s="13">
        <f>IFERROR(Todo_Gases_Chile_ton[[#This Row],[Variación CH4]]*25,"")</f>
        <v>228200.15249999997</v>
      </c>
      <c r="K26" s="16">
        <f>(Todo_Gases_Chile_ton[[#This Row],[CH4 (CO2eq)]]/Todo_Gases_Chile_ton[[#This Row],[Población]])</f>
        <v>0.81001019793319307</v>
      </c>
      <c r="L26" s="13">
        <f>'Ark1'!L26*1000</f>
        <v>23465.763800000001</v>
      </c>
      <c r="M26" s="13">
        <f>Todo_Gases_Chile_ton[[#This Row],[N2O]]*298</f>
        <v>6992797.6124</v>
      </c>
      <c r="N26" s="13">
        <f>IFERROR(Todo_Gases_Chile_ton[[#This Row],[N2O]]-L25,"")</f>
        <v>-156.27209999999832</v>
      </c>
      <c r="O26" s="13">
        <f>IFERROR(Todo_Gases_Chile_ton[[#This Row],[Variación N2O]]*298,"")</f>
        <v>-46569.085799999499</v>
      </c>
      <c r="P26" s="16">
        <f>(Todo_Gases_Chile_ton[[#This Row],[N2O (CO2eq)]]/Todo_Gases_Chile_ton[[#This Row],[Población]])</f>
        <v>0.39704954140671461</v>
      </c>
      <c r="Q26" s="13">
        <f>'Ark1'!Q26*1000</f>
        <v>252.44818836486488</v>
      </c>
      <c r="R26" s="13">
        <f>IFERROR(Todo_Gases_Chile_ton[[#This Row],[HFC]]-Q25,"")</f>
        <v>38.533674432432434</v>
      </c>
      <c r="S26" s="13">
        <f>'Ark1'!S26*1000</f>
        <v>1868116.5939</v>
      </c>
      <c r="T26" s="13">
        <f>IFERROR(Todo_Gases_Chile_ton[[#This Row],[HFC (CO2eq)]]-S25,"")</f>
        <v>285149.19079999998</v>
      </c>
      <c r="U26" s="17">
        <f>(Todo_Gases_Chile_ton[[#This Row],[HFC (CO2eq)]]/Todo_Gases_Chile_ton[[#This Row],[Población]])</f>
        <v>0.1060712576018195</v>
      </c>
      <c r="V26" s="14">
        <f>'Ark1'!V26*1000</f>
        <v>10.255473701754385</v>
      </c>
      <c r="W26" s="17">
        <f>IFERROR(Todo_Gases_Chile_ton[[#This Row],[SF6]]-V25,"")</f>
        <v>3.2832513157892151E-2</v>
      </c>
      <c r="X26" s="13">
        <f>'Ark1'!X26*1000</f>
        <v>233824.80039999998</v>
      </c>
      <c r="Y26" s="13">
        <f>IFERROR(Todo_Gases_Chile_ton[[#This Row],[SF6 (CO2eq)]]-X25,"")</f>
        <v>748.58129999996163</v>
      </c>
      <c r="Z26" s="17">
        <f>(Todo_Gases_Chile_ton[[#This Row],[SF6 (CO2eq)]]/Todo_Gases_Chile_ton[[#This Row],[Población]])</f>
        <v>1.3276521774877011E-2</v>
      </c>
      <c r="AA26" s="13">
        <f>+Todo_Gases_Chile_ton[[#This Row],[CO2 (CO2eq)]]+Todo_Gases_Chile_ton[[#This Row],[CH4 (CO2eq)]]+Todo_Gases_Chile_ton[[#This Row],[N2O (CO2eq)]]+Todo_Gases_Chile_ton[[#This Row],[HFC (CO2eq)]]+Todo_Gases_Chile_ton[[#This Row],[SF6 (CO2eq)]]</f>
        <v>32416856.625603195</v>
      </c>
      <c r="AB26" s="13">
        <f>IFERROR(Todo_Gases_Chile_ton[[#This Row],[ton netas CO2eq]]-AA25,"")</f>
        <v>-10644318.064382803</v>
      </c>
      <c r="AC26" s="17">
        <f>+IFERROR(Todo_Gases_Chile_ton[[#This Row],[Variación ton CO2eq]]/AA25,"")</f>
        <v>-0.24719061059098721</v>
      </c>
      <c r="AD26" s="16">
        <f>(Todo_Gases_Chile_ton[[#This Row],[ton netas CO2eq]]/Todo_Gases_Chile_ton[[#This Row],[Población]])</f>
        <v>1.8406221330100063</v>
      </c>
      <c r="AE26" s="13">
        <v>17611902</v>
      </c>
      <c r="AF26" s="24">
        <v>104304348.63470319</v>
      </c>
      <c r="AG26" s="24">
        <f>+IFERROR(Todo_Gases_Chile_ton[[#This Row],[CO2e Total]]-AF25,"")</f>
        <v>-188013.98938253522</v>
      </c>
      <c r="AH26" s="26">
        <f>+IFERROR(Todo_Gases_Chile_ton[[#This Row],[Variación CO2eq total]]/AF25,"")</f>
        <v>-1.7993084342338105E-3</v>
      </c>
      <c r="AI26" s="25">
        <f>+Todo_Gases_Chile_ton[[#This Row],[CO2e Total]]/Todo_Gases_Chile_ton[[#This Row],[Población]]</f>
        <v>5.9223784367357482</v>
      </c>
    </row>
    <row r="27" spans="1:35" x14ac:dyDescent="0.25">
      <c r="A27" s="2">
        <v>2014</v>
      </c>
      <c r="B27" s="13">
        <f>'Ark1'!B27*1000</f>
        <v>21624464.269773997</v>
      </c>
      <c r="C27" s="13">
        <f>'Ark1'!C27*1000</f>
        <v>21624464.269773997</v>
      </c>
      <c r="D27" s="13">
        <f>IFERROR(Todo_Gases_Chile_ton[[#This Row],[CO2]]-B26,"")</f>
        <v>12568166.875870798</v>
      </c>
      <c r="E27" s="13">
        <f>IFERROR(Todo_Gases_Chile_ton[[#This Row],[CO2 (CO2eq)]]-C26,"")</f>
        <v>12568166.875870798</v>
      </c>
      <c r="F27" s="16">
        <f>(Todo_Gases_Chile_ton[[#This Row],[CO2]]/Todo_Gases_Chile_ton[[#This Row],[Población]])</f>
        <v>1.2157032765982085</v>
      </c>
      <c r="G27" s="13">
        <f>'Ark1'!G27*1000</f>
        <v>575011.9425</v>
      </c>
      <c r="H27" s="13">
        <f>Todo_Gases_Chile_ton[[#This Row],[CH4]]*25</f>
        <v>14375298.5625</v>
      </c>
      <c r="I27" s="13">
        <f>IFERROR(Todo_Gases_Chile_ton[[#This Row],[CH4]]-G26,"")</f>
        <v>4379.1334999999963</v>
      </c>
      <c r="J27" s="13">
        <f>IFERROR(Todo_Gases_Chile_ton[[#This Row],[Variación CH4]]*25,"")</f>
        <v>109478.33749999991</v>
      </c>
      <c r="K27" s="16">
        <f>(Todo_Gases_Chile_ton[[#This Row],[CH4 (CO2eq)]]/Todo_Gases_Chile_ton[[#This Row],[Población]])</f>
        <v>0.80816326113273074</v>
      </c>
      <c r="L27" s="13">
        <f>'Ark1'!L27*1000</f>
        <v>24098.9715</v>
      </c>
      <c r="M27" s="13">
        <f>Todo_Gases_Chile_ton[[#This Row],[N2O]]*298</f>
        <v>7181493.5070000002</v>
      </c>
      <c r="N27" s="13">
        <f>IFERROR(Todo_Gases_Chile_ton[[#This Row],[N2O]]-L26,"")</f>
        <v>633.20769999999902</v>
      </c>
      <c r="O27" s="13">
        <f>IFERROR(Todo_Gases_Chile_ton[[#This Row],[Variación N2O]]*298,"")</f>
        <v>188695.89459999971</v>
      </c>
      <c r="P27" s="16">
        <f>(Todo_Gases_Chile_ton[[#This Row],[N2O (CO2eq)]]/Todo_Gases_Chile_ton[[#This Row],[Población]])</f>
        <v>0.40373555979983156</v>
      </c>
      <c r="Q27" s="13">
        <f>'Ark1'!Q27*1000</f>
        <v>315.86134001351354</v>
      </c>
      <c r="R27" s="13">
        <f>IFERROR(Todo_Gases_Chile_ton[[#This Row],[HFC]]-Q26,"")</f>
        <v>63.413151648648665</v>
      </c>
      <c r="S27" s="13">
        <f>'Ark1'!S27*1000</f>
        <v>2337373.9161</v>
      </c>
      <c r="T27" s="13">
        <f>IFERROR(Todo_Gases_Chile_ton[[#This Row],[HFC (CO2eq)]]-S26,"")</f>
        <v>469257.32220000005</v>
      </c>
      <c r="U27" s="17">
        <f>(Todo_Gases_Chile_ton[[#This Row],[HFC (CO2eq)]]/Todo_Gases_Chile_ton[[#This Row],[Población]])</f>
        <v>0.13140455610776869</v>
      </c>
      <c r="V27" s="14">
        <f>'Ark1'!V27*1000</f>
        <v>10.214803127192981</v>
      </c>
      <c r="W27" s="17">
        <f>IFERROR(Todo_Gases_Chile_ton[[#This Row],[SF6]]-V26,"")</f>
        <v>-4.0670574561403328E-2</v>
      </c>
      <c r="X27" s="13">
        <f>'Ark1'!X27*1000</f>
        <v>232897.51129999998</v>
      </c>
      <c r="Y27" s="13">
        <f>IFERROR(Todo_Gases_Chile_ton[[#This Row],[SF6 (CO2eq)]]-X26,"")</f>
        <v>-927.28909999999451</v>
      </c>
      <c r="Z27" s="17">
        <f>(Todo_Gases_Chile_ton[[#This Row],[SF6 (CO2eq)]]/Todo_Gases_Chile_ton[[#This Row],[Población]])</f>
        <v>1.309323847595774E-2</v>
      </c>
      <c r="AA27" s="13">
        <f>+Todo_Gases_Chile_ton[[#This Row],[CO2 (CO2eq)]]+Todo_Gases_Chile_ton[[#This Row],[CH4 (CO2eq)]]+Todo_Gases_Chile_ton[[#This Row],[N2O (CO2eq)]]+Todo_Gases_Chile_ton[[#This Row],[HFC (CO2eq)]]+Todo_Gases_Chile_ton[[#This Row],[SF6 (CO2eq)]]</f>
        <v>45751527.766673997</v>
      </c>
      <c r="AB27" s="13">
        <f>IFERROR(Todo_Gases_Chile_ton[[#This Row],[ton netas CO2eq]]-AA26,"")</f>
        <v>13334671.141070802</v>
      </c>
      <c r="AC27" s="17">
        <f>+IFERROR(Todo_Gases_Chile_ton[[#This Row],[Variación ton CO2eq]]/AA26,"")</f>
        <v>0.41134991264202125</v>
      </c>
      <c r="AD27" s="16">
        <f>(Todo_Gases_Chile_ton[[#This Row],[ton netas CO2eq]]/Todo_Gases_Chile_ton[[#This Row],[Población]])</f>
        <v>2.5720998921144971</v>
      </c>
      <c r="AE27" s="13">
        <v>17787617</v>
      </c>
      <c r="AF27" s="24">
        <v>101473890.39027432</v>
      </c>
      <c r="AG27" s="24">
        <f>+IFERROR(Todo_Gases_Chile_ton[[#This Row],[CO2e Total]]-AF26,"")</f>
        <v>-2830458.2444288731</v>
      </c>
      <c r="AH27" s="26">
        <f>+IFERROR(Todo_Gases_Chile_ton[[#This Row],[Variación CO2eq total]]/AF26,"")</f>
        <v>-2.7136531520289355E-2</v>
      </c>
      <c r="AI27" s="25">
        <f>+Todo_Gases_Chile_ton[[#This Row],[CO2e Total]]/Todo_Gases_Chile_ton[[#This Row],[Población]]</f>
        <v>5.7047490054611769</v>
      </c>
    </row>
    <row r="28" spans="1:35" x14ac:dyDescent="0.25">
      <c r="A28" s="2">
        <v>2015</v>
      </c>
      <c r="B28" s="13">
        <f>'Ark1'!B28*1000</f>
        <v>38428699.702353999</v>
      </c>
      <c r="C28" s="13">
        <f>'Ark1'!C28*1000</f>
        <v>38428699.702353999</v>
      </c>
      <c r="D28" s="13">
        <f>IFERROR(Todo_Gases_Chile_ton[[#This Row],[CO2]]-B27,"")</f>
        <v>16804235.432580002</v>
      </c>
      <c r="E28" s="13">
        <f>IFERROR(Todo_Gases_Chile_ton[[#This Row],[CO2 (CO2eq)]]-C27,"")</f>
        <v>16804235.432580002</v>
      </c>
      <c r="F28" s="16">
        <f>(Todo_Gases_Chile_ton[[#This Row],[CO2]]/Todo_Gases_Chile_ton[[#This Row],[Población]])</f>
        <v>2.1383225859384645</v>
      </c>
      <c r="G28" s="13">
        <f>'Ark1'!G28*1000</f>
        <v>587389.35569999996</v>
      </c>
      <c r="H28" s="13">
        <f>Todo_Gases_Chile_ton[[#This Row],[CH4]]*25</f>
        <v>14684733.892499998</v>
      </c>
      <c r="I28" s="13">
        <f>IFERROR(Todo_Gases_Chile_ton[[#This Row],[CH4]]-G27,"")</f>
        <v>12377.413199999952</v>
      </c>
      <c r="J28" s="13">
        <f>IFERROR(Todo_Gases_Chile_ton[[#This Row],[Variación CH4]]*25,"")</f>
        <v>309435.32999999879</v>
      </c>
      <c r="K28" s="16">
        <f>(Todo_Gases_Chile_ton[[#This Row],[CH4 (CO2eq)]]/Todo_Gases_Chile_ton[[#This Row],[Población]])</f>
        <v>0.81711581172509251</v>
      </c>
      <c r="L28" s="13">
        <f>'Ark1'!L28*1000</f>
        <v>24585.317999999999</v>
      </c>
      <c r="M28" s="13">
        <f>Todo_Gases_Chile_ton[[#This Row],[N2O]]*298</f>
        <v>7326424.7639999995</v>
      </c>
      <c r="N28" s="13">
        <f>IFERROR(Todo_Gases_Chile_ton[[#This Row],[N2O]]-L27,"")</f>
        <v>486.34649999999965</v>
      </c>
      <c r="O28" s="13">
        <f>IFERROR(Todo_Gases_Chile_ton[[#This Row],[Variación N2O]]*298,"")</f>
        <v>144931.2569999999</v>
      </c>
      <c r="P28" s="16">
        <f>(Todo_Gases_Chile_ton[[#This Row],[N2O (CO2eq)]]/Todo_Gases_Chile_ton[[#This Row],[Población]])</f>
        <v>0.40767082072465821</v>
      </c>
      <c r="Q28" s="13">
        <f>'Ark1'!Q28*1000</f>
        <v>349.83227686486492</v>
      </c>
      <c r="R28" s="13">
        <f>IFERROR(Todo_Gases_Chile_ton[[#This Row],[HFC]]-Q27,"")</f>
        <v>33.970936851351382</v>
      </c>
      <c r="S28" s="13">
        <f>'Ark1'!S28*1000</f>
        <v>2588758.8488000003</v>
      </c>
      <c r="T28" s="13">
        <f>IFERROR(Todo_Gases_Chile_ton[[#This Row],[HFC (CO2eq)]]-S27,"")</f>
        <v>251384.93270000024</v>
      </c>
      <c r="U28" s="17">
        <f>(Todo_Gases_Chile_ton[[#This Row],[HFC (CO2eq)]]/Todo_Gases_Chile_ton[[#This Row],[Población]])</f>
        <v>0.14404862924878015</v>
      </c>
      <c r="V28" s="14">
        <f>'Ark1'!V28*1000</f>
        <v>10.628323653508772</v>
      </c>
      <c r="W28" s="17">
        <f>IFERROR(Todo_Gases_Chile_ton[[#This Row],[SF6]]-V27,"")</f>
        <v>0.41352052631579106</v>
      </c>
      <c r="X28" s="13">
        <f>'Ark1'!X28*1000</f>
        <v>242325.77929999999</v>
      </c>
      <c r="Y28" s="13">
        <f>IFERROR(Todo_Gases_Chile_ton[[#This Row],[SF6 (CO2eq)]]-X27,"")</f>
        <v>9428.2680000000109</v>
      </c>
      <c r="Z28" s="17">
        <f>(Todo_Gases_Chile_ton[[#This Row],[SF6 (CO2eq)]]/Todo_Gases_Chile_ton[[#This Row],[Población]])</f>
        <v>1.3483950564181812E-2</v>
      </c>
      <c r="AA28" s="13">
        <f>+Todo_Gases_Chile_ton[[#This Row],[CO2 (CO2eq)]]+Todo_Gases_Chile_ton[[#This Row],[CH4 (CO2eq)]]+Todo_Gases_Chile_ton[[#This Row],[N2O (CO2eq)]]+Todo_Gases_Chile_ton[[#This Row],[HFC (CO2eq)]]+Todo_Gases_Chile_ton[[#This Row],[SF6 (CO2eq)]]</f>
        <v>63270942.986953996</v>
      </c>
      <c r="AB28" s="13">
        <f>IFERROR(Todo_Gases_Chile_ton[[#This Row],[ton netas CO2eq]]-AA27,"")</f>
        <v>17519415.220279999</v>
      </c>
      <c r="AC28" s="17">
        <f>+IFERROR(Todo_Gases_Chile_ton[[#This Row],[Variación ton CO2eq]]/AA27,"")</f>
        <v>0.38292525026981433</v>
      </c>
      <c r="AD28" s="16">
        <f>(Todo_Gases_Chile_ton[[#This Row],[ton netas CO2eq]]/Todo_Gases_Chile_ton[[#This Row],[Población]])</f>
        <v>3.5206417982011775</v>
      </c>
      <c r="AE28" s="13">
        <v>17971423</v>
      </c>
      <c r="AF28" s="24">
        <v>108243311.88405421</v>
      </c>
      <c r="AG28" s="24">
        <f>+IFERROR(Todo_Gases_Chile_ton[[#This Row],[CO2e Total]]-AF27,"")</f>
        <v>6769421.4937798977</v>
      </c>
      <c r="AH28" s="26">
        <f>+IFERROR(Todo_Gases_Chile_ton[[#This Row],[Variación CO2eq total]]/AF27,"")</f>
        <v>6.6710968385506067E-2</v>
      </c>
      <c r="AI28" s="25">
        <f>+Todo_Gases_Chile_ton[[#This Row],[CO2e Total]]/Todo_Gases_Chile_ton[[#This Row],[Población]]</f>
        <v>6.0230796350436027</v>
      </c>
    </row>
    <row r="29" spans="1:35" x14ac:dyDescent="0.25">
      <c r="A29" s="2">
        <v>2016</v>
      </c>
      <c r="B29" s="13">
        <f>'Ark1'!B29*1000</f>
        <v>22186386.071189001</v>
      </c>
      <c r="C29" s="13">
        <f>'Ark1'!C29*1000</f>
        <v>22186386.071189001</v>
      </c>
      <c r="D29" s="13">
        <f>IFERROR(Todo_Gases_Chile_ton[[#This Row],[CO2]]-B28,"")</f>
        <v>-16242313.631164998</v>
      </c>
      <c r="E29" s="13">
        <f>IFERROR(Todo_Gases_Chile_ton[[#This Row],[CO2 (CO2eq)]]-C28,"")</f>
        <v>-16242313.631164998</v>
      </c>
      <c r="F29" s="16">
        <f>(Todo_Gases_Chile_ton[[#This Row],[CO2]]/Todo_Gases_Chile_ton[[#This Row],[Población]])</f>
        <v>1.2212366681014362</v>
      </c>
      <c r="G29" s="13">
        <f>'Ark1'!G29*1000</f>
        <v>562570.57999999996</v>
      </c>
      <c r="H29" s="15">
        <f>Todo_Gases_Chile_ton[[#This Row],[CH4]]*25</f>
        <v>14064264.499999998</v>
      </c>
      <c r="I29" s="13">
        <f>IFERROR(Todo_Gases_Chile_ton[[#This Row],[CH4]]-G28,"")</f>
        <v>-24818.775699999998</v>
      </c>
      <c r="J29" s="13">
        <f>IFERROR(Todo_Gases_Chile_ton[[#This Row],[Variación CH4]]*25,"")</f>
        <v>-620469.39249999996</v>
      </c>
      <c r="K29" s="16">
        <f>(Todo_Gases_Chile_ton[[#This Row],[CH4 (CO2eq)]]/Todo_Gases_Chile_ton[[#This Row],[Población]])</f>
        <v>0.77415922819361771</v>
      </c>
      <c r="L29" s="13">
        <f>'Ark1'!L29*1000</f>
        <v>22794.6158</v>
      </c>
      <c r="M29" s="15">
        <f>Todo_Gases_Chile_ton[[#This Row],[N2O]]*298</f>
        <v>6792795.5083999997</v>
      </c>
      <c r="N29" s="13">
        <f>IFERROR(Todo_Gases_Chile_ton[[#This Row],[N2O]]-L28,"")</f>
        <v>-1790.7021999999997</v>
      </c>
      <c r="O29" s="13">
        <f>IFERROR(Todo_Gases_Chile_ton[[#This Row],[Variación N2O]]*298,"")</f>
        <v>-533629.25559999992</v>
      </c>
      <c r="P29" s="16">
        <f>(Todo_Gases_Chile_ton[[#This Row],[N2O (CO2eq)]]/Todo_Gases_Chile_ton[[#This Row],[Población]])</f>
        <v>0.37390546288858673</v>
      </c>
      <c r="Q29" s="13">
        <f>'Ark1'!Q29*1000</f>
        <v>387.76492477027023</v>
      </c>
      <c r="R29" s="13">
        <f>IFERROR(Todo_Gases_Chile_ton[[#This Row],[HFC]]-Q28,"")</f>
        <v>37.932647905405304</v>
      </c>
      <c r="S29" s="13">
        <f>'Ark1'!S29*1000</f>
        <v>2869460.4432999999</v>
      </c>
      <c r="T29" s="13">
        <f>IFERROR(Todo_Gases_Chile_ton[[#This Row],[HFC (CO2eq)]]-S28,"")</f>
        <v>280701.59449999966</v>
      </c>
      <c r="U29" s="17">
        <f>(Todo_Gases_Chile_ton[[#This Row],[HFC (CO2eq)]]/Todo_Gases_Chile_ton[[#This Row],[Población]])</f>
        <v>0.15794777481021097</v>
      </c>
      <c r="V29" s="14">
        <f>'Ark1'!V29*1000</f>
        <v>11.94159967105263</v>
      </c>
      <c r="W29" s="17">
        <f>IFERROR(Todo_Gases_Chile_ton[[#This Row],[SF6]]-V28,"")</f>
        <v>1.313276017543858</v>
      </c>
      <c r="X29" s="13">
        <f>'Ark1'!X29*1000</f>
        <v>272268.47249999997</v>
      </c>
      <c r="Y29" s="13">
        <f>IFERROR(Todo_Gases_Chile_ton[[#This Row],[SF6 (CO2eq)]]-X28,"")</f>
        <v>29942.69319999998</v>
      </c>
      <c r="Z29" s="17">
        <f>(Todo_Gases_Chile_ton[[#This Row],[SF6 (CO2eq)]]/Todo_Gases_Chile_ton[[#This Row],[Población]])</f>
        <v>1.4986859108917871E-2</v>
      </c>
      <c r="AA29" s="13">
        <f>+Todo_Gases_Chile_ton[[#This Row],[CO2 (CO2eq)]]+Todo_Gases_Chile_ton[[#This Row],[CH4 (CO2eq)]]+Todo_Gases_Chile_ton[[#This Row],[N2O (CO2eq)]]+Todo_Gases_Chile_ton[[#This Row],[HFC (CO2eq)]]+Todo_Gases_Chile_ton[[#This Row],[SF6 (CO2eq)]]</f>
        <v>46185174.995389</v>
      </c>
      <c r="AB29" s="13">
        <f>IFERROR(Todo_Gases_Chile_ton[[#This Row],[ton netas CO2eq]]-AA28,"")</f>
        <v>-17085767.991564997</v>
      </c>
      <c r="AC29" s="17">
        <f>+IFERROR(Todo_Gases_Chile_ton[[#This Row],[Variación ton CO2eq]]/AA28,"")</f>
        <v>-0.27004130466473303</v>
      </c>
      <c r="AD29" s="16">
        <f>(Todo_Gases_Chile_ton[[#This Row],[ton netas CO2eq]]/Todo_Gases_Chile_ton[[#This Row],[Población]])</f>
        <v>2.5422359931027696</v>
      </c>
      <c r="AE29" s="13">
        <v>18167147</v>
      </c>
      <c r="AF29" s="24">
        <v>111677505.68288881</v>
      </c>
      <c r="AG29" s="24">
        <f>+IFERROR(Todo_Gases_Chile_ton[[#This Row],[CO2e Total]]-AF28,"")</f>
        <v>3434193.7988345921</v>
      </c>
      <c r="AH29" s="26">
        <f>+IFERROR(Todo_Gases_Chile_ton[[#This Row],[Variación CO2eq total]]/AF28,"")</f>
        <v>3.1726614227335907E-2</v>
      </c>
      <c r="AI29" s="25">
        <f>+Todo_Gases_Chile_ton[[#This Row],[CO2e Total]]/Todo_Gases_Chile_ton[[#This Row],[Población]]</f>
        <v>6.1472230990858829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Ark1</vt:lpstr>
      <vt:lpstr>Ark1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2020-08-14T15:32:16Z</dcterms:created>
  <dcterms:modified xsi:type="dcterms:W3CDTF">2020-12-08T00:13:05Z</dcterms:modified>
</cp:coreProperties>
</file>