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showInkAnnotation="0" autoCompressPictures="0" defaultThemeVersion="166925"/>
  <mc:AlternateContent xmlns:mc="http://schemas.openxmlformats.org/markup-compatibility/2006">
    <mc:Choice Requires="x15">
      <x15ac:absPath xmlns:x15ac="http://schemas.microsoft.com/office/spreadsheetml/2010/11/ac" url="https://d.docs.live.net/944d5b9328a00097/Data intelligence/Plataformas informacion/DATAEVAL/"/>
    </mc:Choice>
  </mc:AlternateContent>
  <xr:revisionPtr revIDLastSave="180" documentId="8_{5F1D129D-57EA-4847-89AB-C9B859DEB671}" xr6:coauthVersionLast="45" xr6:coauthVersionMax="45" xr10:uidLastSave="{254C9C49-0015-4445-8AAD-2BE3FDC4FD24}"/>
  <bookViews>
    <workbookView xWindow="-120" yWindow="-120" windowWidth="20730" windowHeight="11160" tabRatio="500" xr2:uid="{00000000-000D-0000-FFFF-FFFF00000000}"/>
  </bookViews>
  <sheets>
    <sheet name="dataeval" sheetId="1" r:id="rId1"/>
    <sheet name="Notas reunion" sheetId="5" r:id="rId2"/>
    <sheet name="fuentes" sheetId="2" r:id="rId3"/>
    <sheet name="Deflactor" sheetId="4" r:id="rId4"/>
    <sheet name="Glosario" sheetId="6" r:id="rId5"/>
  </sheets>
  <definedNames>
    <definedName name="_xlnm._FilterDatabase" localSheetId="0" hidden="1">dataeval!$A$1:$AV$622</definedName>
    <definedName name="_xlnm._FilterDatabase" localSheetId="2" hidden="1">fuentes!$E$63:$E$629</definedName>
    <definedName name="_xlnm._FilterDatabase" localSheetId="4" hidden="1">Glosario!$F$2:$F$631</definedName>
    <definedName name="_xlnm.Extract" localSheetId="2">fuentes!$F$63:$F$629</definedName>
    <definedName name="_xlnm.Extract" localSheetId="4">Glosario!$G$2:$G$631</definedName>
    <definedName name="Categorias_de_Presupuesto">Deflactor!$BP$297:$BT$307</definedName>
    <definedName name="_xlnm.Criteria" localSheetId="2">fuentes!$E$63:$E$629</definedName>
    <definedName name="_xlnm.Criteria" localSheetId="4">Glosario!$F$2:$F$631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74" i="1" l="1"/>
  <c r="J169" i="1"/>
  <c r="J168" i="1"/>
  <c r="J167" i="1"/>
  <c r="J166" i="1"/>
  <c r="J165" i="1"/>
  <c r="J164" i="1"/>
  <c r="B31" i="6" l="1"/>
  <c r="D31" i="6" l="1"/>
  <c r="D32" i="6"/>
  <c r="D33" i="6"/>
  <c r="B32" i="6"/>
  <c r="B33" i="6"/>
  <c r="D29" i="6"/>
  <c r="D30" i="6"/>
  <c r="B29" i="6"/>
  <c r="B30" i="6"/>
  <c r="D27" i="6"/>
  <c r="D28" i="6"/>
  <c r="B27" i="6"/>
  <c r="B28" i="6"/>
  <c r="BR306" i="4" l="1"/>
  <c r="BR305" i="4"/>
  <c r="BR304" i="4"/>
  <c r="BR303" i="4"/>
  <c r="BR302" i="4"/>
  <c r="BR301" i="4"/>
  <c r="BR300" i="4"/>
  <c r="BR299" i="4"/>
  <c r="BR298" i="4"/>
  <c r="BS298" i="4" l="1" a="1"/>
  <c r="BS298" i="4" s="1"/>
  <c r="BR292" i="4"/>
  <c r="BR291" i="4"/>
  <c r="BR290" i="4"/>
  <c r="BR289" i="4"/>
  <c r="BR288" i="4"/>
  <c r="BR287" i="4"/>
  <c r="BR286" i="4"/>
  <c r="BR285" i="4"/>
  <c r="BR284" i="4"/>
  <c r="BR283" i="4"/>
  <c r="BR282" i="4"/>
  <c r="BR281" i="4"/>
  <c r="BR280" i="4"/>
  <c r="BR279" i="4"/>
  <c r="BR278" i="4"/>
  <c r="BR277" i="4"/>
  <c r="BR276" i="4"/>
  <c r="BR275" i="4"/>
  <c r="BR274" i="4"/>
  <c r="BR273" i="4"/>
  <c r="BR272" i="4"/>
  <c r="BR271" i="4"/>
  <c r="BR270" i="4"/>
  <c r="BR269" i="4"/>
  <c r="BR268" i="4"/>
  <c r="BR267" i="4"/>
  <c r="BR266" i="4"/>
  <c r="BR265" i="4"/>
  <c r="BR264" i="4"/>
  <c r="BR263" i="4"/>
  <c r="BR262" i="4"/>
  <c r="BR261" i="4"/>
  <c r="BR260" i="4"/>
  <c r="BR259" i="4"/>
  <c r="BR258" i="4"/>
  <c r="BR257" i="4"/>
  <c r="BR256" i="4"/>
  <c r="BR255" i="4"/>
  <c r="BR254" i="4"/>
  <c r="BR253" i="4"/>
  <c r="BR252" i="4"/>
  <c r="BR251" i="4"/>
  <c r="BR250" i="4"/>
  <c r="BR249" i="4"/>
  <c r="BR248" i="4"/>
  <c r="BR247" i="4"/>
  <c r="BR246" i="4"/>
  <c r="BR245" i="4"/>
  <c r="BR244" i="4"/>
  <c r="BR243" i="4"/>
  <c r="BR242" i="4"/>
  <c r="BR241" i="4"/>
  <c r="BR240" i="4"/>
  <c r="BR239" i="4"/>
  <c r="BR238" i="4"/>
  <c r="BR237" i="4"/>
  <c r="BR236" i="4"/>
  <c r="BR235" i="4"/>
  <c r="BR234" i="4"/>
  <c r="BR233" i="4"/>
  <c r="BR232" i="4"/>
  <c r="BR231" i="4"/>
  <c r="BR230" i="4"/>
  <c r="BR229" i="4"/>
  <c r="BR228" i="4"/>
  <c r="BR227" i="4"/>
  <c r="BR226" i="4"/>
  <c r="BR225" i="4"/>
  <c r="BR224" i="4"/>
  <c r="BR223" i="4"/>
  <c r="BR222" i="4"/>
  <c r="BR221" i="4"/>
  <c r="BR220" i="4"/>
  <c r="BR219" i="4"/>
  <c r="BR218" i="4"/>
  <c r="BR217" i="4"/>
  <c r="BR216" i="4"/>
  <c r="BR215" i="4"/>
  <c r="BR214" i="4"/>
  <c r="BR213" i="4"/>
  <c r="BR212" i="4"/>
  <c r="BR211" i="4"/>
  <c r="BR210" i="4"/>
  <c r="BR209" i="4"/>
  <c r="BR208" i="4"/>
  <c r="BR207" i="4"/>
  <c r="BR206" i="4"/>
  <c r="BR205" i="4"/>
  <c r="BR204" i="4"/>
  <c r="BR203" i="4"/>
  <c r="BR202" i="4"/>
  <c r="BR201" i="4"/>
  <c r="BR200" i="4"/>
  <c r="BR199" i="4"/>
  <c r="BR198" i="4"/>
  <c r="BR197" i="4"/>
  <c r="BR196" i="4"/>
  <c r="BR195" i="4"/>
  <c r="BR194" i="4"/>
  <c r="BR193" i="4"/>
  <c r="BR192" i="4"/>
  <c r="BR191" i="4"/>
  <c r="BR190" i="4"/>
  <c r="BR189" i="4"/>
  <c r="BR188" i="4"/>
  <c r="BR187" i="4"/>
  <c r="BR186" i="4"/>
  <c r="BR185" i="4"/>
  <c r="BR184" i="4"/>
  <c r="BR183" i="4"/>
  <c r="BR182" i="4"/>
  <c r="BR181" i="4"/>
  <c r="BR180" i="4"/>
  <c r="BR179" i="4"/>
  <c r="BR178" i="4"/>
  <c r="BR177" i="4"/>
  <c r="BR176" i="4"/>
  <c r="BR175" i="4"/>
  <c r="BR174" i="4"/>
  <c r="BR173" i="4"/>
  <c r="BR172" i="4"/>
  <c r="BR171" i="4"/>
  <c r="BR170" i="4"/>
  <c r="BR169" i="4"/>
  <c r="BR168" i="4"/>
  <c r="BR167" i="4"/>
  <c r="BR166" i="4"/>
  <c r="BR165" i="4"/>
  <c r="BR164" i="4"/>
  <c r="BR163" i="4"/>
  <c r="BR162" i="4"/>
  <c r="BR161" i="4"/>
  <c r="BR160" i="4"/>
  <c r="BR159" i="4"/>
  <c r="BR158" i="4"/>
  <c r="BR157" i="4"/>
  <c r="BR156" i="4"/>
  <c r="BR155" i="4"/>
  <c r="BR154" i="4"/>
  <c r="BR153" i="4"/>
  <c r="BR152" i="4"/>
  <c r="BR151" i="4"/>
  <c r="BR150" i="4"/>
  <c r="BR149" i="4"/>
  <c r="BR148" i="4"/>
  <c r="BR147" i="4"/>
  <c r="BR146" i="4"/>
  <c r="BR145" i="4"/>
  <c r="BR144" i="4"/>
  <c r="BR143" i="4"/>
  <c r="BR142" i="4"/>
  <c r="BR141" i="4"/>
  <c r="BR140" i="4"/>
  <c r="BR139" i="4"/>
  <c r="BR138" i="4"/>
  <c r="BR137" i="4"/>
  <c r="BR136" i="4"/>
  <c r="BR135" i="4"/>
  <c r="BR134" i="4"/>
  <c r="BR133" i="4"/>
  <c r="BR132" i="4"/>
  <c r="BR131" i="4"/>
  <c r="BR130" i="4"/>
  <c r="BR129" i="4"/>
  <c r="BR128" i="4"/>
  <c r="BR127" i="4"/>
  <c r="BR126" i="4"/>
  <c r="BR125" i="4"/>
  <c r="BR124" i="4"/>
  <c r="BR123" i="4"/>
  <c r="BR122" i="4"/>
  <c r="BR121" i="4"/>
  <c r="BR120" i="4"/>
  <c r="BR119" i="4"/>
  <c r="BR118" i="4"/>
  <c r="BR117" i="4"/>
  <c r="BR116" i="4"/>
  <c r="BR115" i="4"/>
  <c r="BR114" i="4"/>
  <c r="BR113" i="4"/>
  <c r="BR112" i="4"/>
  <c r="BR111" i="4"/>
  <c r="BR110" i="4"/>
  <c r="BR109" i="4"/>
  <c r="BR108" i="4"/>
  <c r="BR107" i="4"/>
  <c r="BR106" i="4"/>
  <c r="BR105" i="4"/>
  <c r="BR104" i="4"/>
  <c r="BR103" i="4"/>
  <c r="BR102" i="4"/>
  <c r="BR101" i="4"/>
  <c r="BR100" i="4"/>
  <c r="BR99" i="4"/>
  <c r="BR98" i="4"/>
  <c r="BR97" i="4"/>
  <c r="BR96" i="4"/>
  <c r="BR95" i="4"/>
  <c r="BR94" i="4"/>
  <c r="BR93" i="4"/>
  <c r="BR92" i="4"/>
  <c r="BR91" i="4"/>
  <c r="BR90" i="4"/>
  <c r="BR89" i="4"/>
  <c r="BR88" i="4"/>
  <c r="BR87" i="4"/>
  <c r="BR86" i="4"/>
  <c r="BR85" i="4"/>
  <c r="BR84" i="4"/>
  <c r="BR83" i="4"/>
  <c r="BR82" i="4"/>
  <c r="BR81" i="4"/>
  <c r="BR80" i="4"/>
  <c r="BR79" i="4"/>
  <c r="BR78" i="4"/>
  <c r="BR77" i="4"/>
  <c r="BR76" i="4"/>
  <c r="BR75" i="4"/>
  <c r="BR74" i="4"/>
  <c r="BR73" i="4"/>
  <c r="BR72" i="4"/>
  <c r="BR71" i="4"/>
  <c r="BR70" i="4"/>
  <c r="BR69" i="4"/>
  <c r="BR68" i="4"/>
  <c r="BR67" i="4"/>
  <c r="BR66" i="4"/>
  <c r="BR65" i="4"/>
  <c r="BR64" i="4"/>
  <c r="BR63" i="4"/>
  <c r="BR62" i="4"/>
  <c r="BR61" i="4"/>
  <c r="BR60" i="4"/>
  <c r="BR59" i="4"/>
  <c r="BR58" i="4"/>
  <c r="BR57" i="4"/>
  <c r="BR56" i="4"/>
  <c r="BR55" i="4"/>
  <c r="BR54" i="4"/>
  <c r="BR53" i="4"/>
  <c r="BR52" i="4"/>
  <c r="BR51" i="4"/>
  <c r="BR50" i="4"/>
  <c r="BR49" i="4"/>
  <c r="BR48" i="4"/>
  <c r="BR47" i="4"/>
  <c r="BR46" i="4"/>
  <c r="BR45" i="4"/>
  <c r="BR44" i="4"/>
  <c r="BR43" i="4"/>
  <c r="BR42" i="4"/>
  <c r="BR41" i="4"/>
  <c r="BR40" i="4"/>
  <c r="BR39" i="4"/>
  <c r="BR38" i="4"/>
  <c r="BR37" i="4"/>
  <c r="BR36" i="4"/>
  <c r="BR35" i="4"/>
  <c r="BR34" i="4"/>
  <c r="BR33" i="4"/>
  <c r="BR32" i="4"/>
  <c r="BR31" i="4"/>
  <c r="BR30" i="4"/>
  <c r="BR29" i="4"/>
  <c r="BR28" i="4"/>
  <c r="BR27" i="4"/>
  <c r="BR26" i="4"/>
  <c r="BR25" i="4"/>
  <c r="BR24" i="4"/>
  <c r="BR23" i="4"/>
  <c r="BR22" i="4"/>
  <c r="BR21" i="4"/>
  <c r="BR20" i="4"/>
  <c r="BR19" i="4"/>
  <c r="BR18" i="4"/>
  <c r="BR17" i="4"/>
  <c r="BR16" i="4"/>
  <c r="BR15" i="4"/>
  <c r="BR14" i="4"/>
  <c r="BR13" i="4"/>
  <c r="BR12" i="4"/>
  <c r="BR11" i="4"/>
  <c r="BR10" i="4"/>
  <c r="BR9" i="4"/>
  <c r="BR8" i="4"/>
  <c r="BR7" i="4"/>
  <c r="BR6" i="4"/>
  <c r="BR5" i="4"/>
  <c r="BR4" i="4"/>
  <c r="BQ296" i="4"/>
  <c r="BQ295" i="4"/>
  <c r="BQ294" i="4"/>
  <c r="AT275" i="1"/>
  <c r="AU275" i="1" s="1"/>
  <c r="AV275" i="1" s="1"/>
  <c r="AT124" i="1"/>
  <c r="AU124" i="1" s="1"/>
  <c r="AV124" i="1" s="1"/>
  <c r="BT305" i="4" l="1"/>
  <c r="BT304" i="4"/>
  <c r="BT301" i="4"/>
  <c r="BT307" i="4"/>
  <c r="BT306" i="4"/>
  <c r="BT303" i="4"/>
  <c r="BT302" i="4"/>
  <c r="BT300" i="4"/>
  <c r="BT299" i="4"/>
  <c r="BT298" i="4"/>
  <c r="AT298" i="1"/>
  <c r="AU298" i="1" s="1"/>
  <c r="AV298" i="1" s="1"/>
  <c r="AT297" i="1"/>
  <c r="AU297" i="1" s="1"/>
  <c r="AV297" i="1" s="1"/>
  <c r="AT288" i="1"/>
  <c r="AU288" i="1" s="1"/>
  <c r="AV288" i="1" s="1"/>
  <c r="AT285" i="1"/>
  <c r="AU285" i="1" s="1"/>
  <c r="AV285" i="1" s="1"/>
  <c r="AT263" i="1"/>
  <c r="AU263" i="1" s="1"/>
  <c r="AV263" i="1" s="1"/>
  <c r="AT260" i="1"/>
  <c r="AU260" i="1" s="1"/>
  <c r="AV260" i="1" s="1"/>
  <c r="AT259" i="1"/>
  <c r="AU259" i="1" s="1"/>
  <c r="AV259" i="1" s="1"/>
  <c r="AT258" i="1"/>
  <c r="AU258" i="1" s="1"/>
  <c r="AV258" i="1" s="1"/>
  <c r="AT253" i="1"/>
  <c r="AU253" i="1" s="1"/>
  <c r="AV253" i="1" s="1"/>
  <c r="AT234" i="1"/>
  <c r="AU234" i="1" s="1"/>
  <c r="AV234" i="1" s="1"/>
  <c r="AT178" i="1"/>
  <c r="AU178" i="1" s="1"/>
  <c r="AV178" i="1" s="1"/>
  <c r="AT165" i="1"/>
  <c r="AU165" i="1" s="1"/>
  <c r="AV165" i="1" s="1"/>
  <c r="AT163" i="1"/>
  <c r="AU163" i="1" s="1"/>
  <c r="AV163" i="1" s="1"/>
  <c r="AT162" i="1"/>
  <c r="AU162" i="1" s="1"/>
  <c r="AV162" i="1" s="1"/>
  <c r="AT161" i="1"/>
  <c r="AU161" i="1" s="1"/>
  <c r="AV161" i="1" s="1"/>
  <c r="AT158" i="1"/>
  <c r="AU158" i="1" s="1"/>
  <c r="AV158" i="1" s="1"/>
  <c r="AT154" i="1"/>
  <c r="AU154" i="1" s="1"/>
  <c r="AV154" i="1" s="1"/>
  <c r="AT144" i="1"/>
  <c r="AU144" i="1" s="1"/>
  <c r="AV144" i="1" s="1"/>
  <c r="AT140" i="1"/>
  <c r="AU140" i="1" s="1"/>
  <c r="AV140" i="1" s="1"/>
  <c r="AT137" i="1"/>
  <c r="AU137" i="1" s="1"/>
  <c r="AV137" i="1" s="1"/>
  <c r="AT125" i="1"/>
  <c r="AU125" i="1" s="1"/>
  <c r="AV125" i="1" s="1"/>
  <c r="AT97" i="1"/>
  <c r="AU97" i="1" s="1"/>
  <c r="AV97" i="1" s="1"/>
  <c r="AT96" i="1"/>
  <c r="AU96" i="1" s="1"/>
  <c r="AV96" i="1" s="1"/>
  <c r="AT95" i="1"/>
  <c r="AU95" i="1" s="1"/>
  <c r="AV95" i="1" s="1"/>
  <c r="AT92" i="1"/>
  <c r="AU92" i="1" s="1"/>
  <c r="AV92" i="1" s="1"/>
  <c r="AT84" i="1"/>
  <c r="AU84" i="1" s="1"/>
  <c r="AV84" i="1" s="1"/>
  <c r="AT81" i="1"/>
  <c r="AU81" i="1" s="1"/>
  <c r="AV81" i="1" s="1"/>
  <c r="AT75" i="1"/>
  <c r="AU75" i="1" s="1"/>
  <c r="AV75" i="1" s="1"/>
  <c r="AT74" i="1"/>
  <c r="AU74" i="1" s="1"/>
  <c r="AV74" i="1" s="1"/>
  <c r="AT73" i="1"/>
  <c r="AU73" i="1" s="1"/>
  <c r="AV73" i="1" s="1"/>
  <c r="AT52" i="1"/>
  <c r="AU52" i="1" s="1"/>
  <c r="AV52" i="1" s="1"/>
  <c r="AT47" i="1"/>
  <c r="AU47" i="1" s="1"/>
  <c r="AV47" i="1" s="1"/>
  <c r="AT46" i="1"/>
  <c r="AU46" i="1" s="1"/>
  <c r="AV46" i="1" s="1"/>
  <c r="AT40" i="1"/>
  <c r="AU40" i="1" s="1"/>
  <c r="AV40" i="1" s="1"/>
  <c r="AT39" i="1"/>
  <c r="AU39" i="1" s="1"/>
  <c r="AV39" i="1" s="1"/>
  <c r="AT38" i="1"/>
  <c r="AU38" i="1" s="1"/>
  <c r="AV38" i="1" s="1"/>
  <c r="AT37" i="1"/>
  <c r="AU37" i="1" s="1"/>
  <c r="AV37" i="1" s="1"/>
  <c r="AT36" i="1"/>
  <c r="AU36" i="1" s="1"/>
  <c r="AV36" i="1" s="1"/>
  <c r="AT32" i="1"/>
  <c r="AU32" i="1" s="1"/>
  <c r="AV32" i="1" s="1"/>
  <c r="AT27" i="1"/>
  <c r="AU27" i="1" s="1"/>
  <c r="AV27" i="1" s="1"/>
  <c r="AT14" i="1"/>
  <c r="AU14" i="1" s="1"/>
  <c r="AV14" i="1" s="1"/>
  <c r="AT9" i="1"/>
  <c r="AU9" i="1" s="1"/>
  <c r="AV9" i="1" s="1"/>
  <c r="AT4" i="1"/>
  <c r="AU4" i="1" s="1"/>
  <c r="AV4" i="1" s="1"/>
  <c r="AT5" i="1"/>
  <c r="AU5" i="1" s="1"/>
  <c r="AV5" i="1" s="1"/>
  <c r="AT6" i="1"/>
  <c r="AU6" i="1" s="1"/>
  <c r="AV6" i="1" s="1"/>
  <c r="AT7" i="1"/>
  <c r="AU7" i="1" s="1"/>
  <c r="AV7" i="1" s="1"/>
  <c r="AT8" i="1"/>
  <c r="AU8" i="1" s="1"/>
  <c r="AV8" i="1" s="1"/>
  <c r="AT10" i="1"/>
  <c r="AU10" i="1" s="1"/>
  <c r="AV10" i="1" s="1"/>
  <c r="AT11" i="1"/>
  <c r="AU11" i="1" s="1"/>
  <c r="AV11" i="1" s="1"/>
  <c r="AT12" i="1"/>
  <c r="AU12" i="1" s="1"/>
  <c r="AV12" i="1" s="1"/>
  <c r="AT13" i="1"/>
  <c r="AU13" i="1" s="1"/>
  <c r="AV13" i="1" s="1"/>
  <c r="AT15" i="1"/>
  <c r="AU15" i="1" s="1"/>
  <c r="AV15" i="1" s="1"/>
  <c r="AT16" i="1"/>
  <c r="AU16" i="1" s="1"/>
  <c r="AV16" i="1" s="1"/>
  <c r="AT17" i="1"/>
  <c r="AU17" i="1" s="1"/>
  <c r="AV17" i="1" s="1"/>
  <c r="AT18" i="1"/>
  <c r="AU18" i="1" s="1"/>
  <c r="AV18" i="1" s="1"/>
  <c r="AT19" i="1"/>
  <c r="AU19" i="1" s="1"/>
  <c r="AV19" i="1" s="1"/>
  <c r="AT20" i="1"/>
  <c r="AU20" i="1" s="1"/>
  <c r="AV20" i="1" s="1"/>
  <c r="AT21" i="1"/>
  <c r="AU21" i="1" s="1"/>
  <c r="AV21" i="1" s="1"/>
  <c r="AT22" i="1"/>
  <c r="AU22" i="1" s="1"/>
  <c r="AV22" i="1" s="1"/>
  <c r="AT23" i="1"/>
  <c r="AU23" i="1" s="1"/>
  <c r="AV23" i="1" s="1"/>
  <c r="AT24" i="1"/>
  <c r="AU24" i="1" s="1"/>
  <c r="AV24" i="1" s="1"/>
  <c r="AT25" i="1"/>
  <c r="AU25" i="1" s="1"/>
  <c r="AV25" i="1" s="1"/>
  <c r="AT26" i="1"/>
  <c r="AU26" i="1" s="1"/>
  <c r="AV26" i="1" s="1"/>
  <c r="AT28" i="1"/>
  <c r="AU28" i="1" s="1"/>
  <c r="AV28" i="1" s="1"/>
  <c r="AT29" i="1"/>
  <c r="AU29" i="1" s="1"/>
  <c r="AV29" i="1" s="1"/>
  <c r="AT30" i="1"/>
  <c r="AU30" i="1" s="1"/>
  <c r="AV30" i="1" s="1"/>
  <c r="AT31" i="1"/>
  <c r="AU31" i="1" s="1"/>
  <c r="AV31" i="1" s="1"/>
  <c r="AT33" i="1"/>
  <c r="AU33" i="1" s="1"/>
  <c r="AV33" i="1" s="1"/>
  <c r="AT34" i="1"/>
  <c r="AU34" i="1" s="1"/>
  <c r="AV34" i="1" s="1"/>
  <c r="AT35" i="1"/>
  <c r="AU35" i="1" s="1"/>
  <c r="AV35" i="1" s="1"/>
  <c r="AT41" i="1"/>
  <c r="AU41" i="1" s="1"/>
  <c r="AV41" i="1" s="1"/>
  <c r="AT42" i="1"/>
  <c r="AU42" i="1" s="1"/>
  <c r="AV42" i="1" s="1"/>
  <c r="AT43" i="1"/>
  <c r="AU43" i="1" s="1"/>
  <c r="AV43" i="1" s="1"/>
  <c r="AT44" i="1"/>
  <c r="AU44" i="1" s="1"/>
  <c r="AV44" i="1" s="1"/>
  <c r="AT45" i="1"/>
  <c r="AU45" i="1" s="1"/>
  <c r="AV45" i="1" s="1"/>
  <c r="J21" i="1"/>
  <c r="AT309" i="1"/>
  <c r="AU309" i="1" s="1"/>
  <c r="AV309" i="1" s="1"/>
  <c r="AT308" i="1"/>
  <c r="AU308" i="1" s="1"/>
  <c r="AV308" i="1" s="1"/>
  <c r="AT307" i="1"/>
  <c r="AU307" i="1" s="1"/>
  <c r="AV307" i="1" s="1"/>
  <c r="AT306" i="1"/>
  <c r="AU306" i="1" s="1"/>
  <c r="AV306" i="1" s="1"/>
  <c r="AT305" i="1"/>
  <c r="AU305" i="1" s="1"/>
  <c r="AV305" i="1" s="1"/>
  <c r="AT304" i="1"/>
  <c r="AU304" i="1" s="1"/>
  <c r="AV304" i="1" s="1"/>
  <c r="AT303" i="1"/>
  <c r="AU303" i="1" s="1"/>
  <c r="AV303" i="1" s="1"/>
  <c r="AT302" i="1"/>
  <c r="AU302" i="1" s="1"/>
  <c r="AV302" i="1" s="1"/>
  <c r="AT301" i="1"/>
  <c r="AU301" i="1" s="1"/>
  <c r="AV301" i="1" s="1"/>
  <c r="AT300" i="1"/>
  <c r="AU300" i="1" s="1"/>
  <c r="AV300" i="1" s="1"/>
  <c r="AT299" i="1"/>
  <c r="AU299" i="1" s="1"/>
  <c r="AV299" i="1" s="1"/>
  <c r="AT296" i="1"/>
  <c r="AU296" i="1" s="1"/>
  <c r="AV296" i="1" s="1"/>
  <c r="AT295" i="1"/>
  <c r="AU295" i="1" s="1"/>
  <c r="AV295" i="1" s="1"/>
  <c r="AT294" i="1"/>
  <c r="AU294" i="1" s="1"/>
  <c r="AV294" i="1" s="1"/>
  <c r="AT293" i="1"/>
  <c r="AU293" i="1" s="1"/>
  <c r="AV293" i="1" s="1"/>
  <c r="AT292" i="1"/>
  <c r="AU292" i="1" s="1"/>
  <c r="AV292" i="1" s="1"/>
  <c r="AT291" i="1"/>
  <c r="AU291" i="1" s="1"/>
  <c r="AV291" i="1" s="1"/>
  <c r="AT290" i="1"/>
  <c r="AU290" i="1" s="1"/>
  <c r="AV290" i="1" s="1"/>
  <c r="AT289" i="1"/>
  <c r="AU289" i="1" s="1"/>
  <c r="AV289" i="1" s="1"/>
  <c r="AT287" i="1"/>
  <c r="AU287" i="1" s="1"/>
  <c r="AV287" i="1" s="1"/>
  <c r="AT286" i="1"/>
  <c r="AU286" i="1" s="1"/>
  <c r="AV286" i="1" s="1"/>
  <c r="AT284" i="1"/>
  <c r="AU284" i="1" s="1"/>
  <c r="AV284" i="1" s="1"/>
  <c r="AT283" i="1"/>
  <c r="AU283" i="1" s="1"/>
  <c r="AV283" i="1" s="1"/>
  <c r="AT282" i="1"/>
  <c r="AU282" i="1" s="1"/>
  <c r="AV282" i="1" s="1"/>
  <c r="AT281" i="1"/>
  <c r="AU281" i="1" s="1"/>
  <c r="AV281" i="1" s="1"/>
  <c r="AT280" i="1"/>
  <c r="AU280" i="1" s="1"/>
  <c r="AV280" i="1" s="1"/>
  <c r="AT279" i="1"/>
  <c r="AU279" i="1" s="1"/>
  <c r="AV279" i="1" s="1"/>
  <c r="AT278" i="1"/>
  <c r="AU278" i="1" s="1"/>
  <c r="AV278" i="1" s="1"/>
  <c r="AT277" i="1"/>
  <c r="AU277" i="1" s="1"/>
  <c r="AV277" i="1" s="1"/>
  <c r="AT276" i="1"/>
  <c r="AU276" i="1" s="1"/>
  <c r="AV276" i="1" s="1"/>
  <c r="AT274" i="1"/>
  <c r="AU274" i="1" s="1"/>
  <c r="AV274" i="1" s="1"/>
  <c r="AT273" i="1"/>
  <c r="AU273" i="1" s="1"/>
  <c r="AV273" i="1" s="1"/>
  <c r="AT272" i="1"/>
  <c r="AU272" i="1" s="1"/>
  <c r="AV272" i="1" s="1"/>
  <c r="AT271" i="1"/>
  <c r="AU271" i="1" s="1"/>
  <c r="AV271" i="1" s="1"/>
  <c r="AT270" i="1"/>
  <c r="AU270" i="1" s="1"/>
  <c r="AV270" i="1" s="1"/>
  <c r="AT269" i="1"/>
  <c r="AU269" i="1" s="1"/>
  <c r="AV269" i="1" s="1"/>
  <c r="AT268" i="1"/>
  <c r="AU268" i="1" s="1"/>
  <c r="AV268" i="1" s="1"/>
  <c r="AT267" i="1"/>
  <c r="AU267" i="1" s="1"/>
  <c r="AV267" i="1" s="1"/>
  <c r="AT266" i="1"/>
  <c r="AU266" i="1" s="1"/>
  <c r="AV266" i="1" s="1"/>
  <c r="AT265" i="1"/>
  <c r="AU265" i="1" s="1"/>
  <c r="AV265" i="1" s="1"/>
  <c r="AT264" i="1"/>
  <c r="AU264" i="1" s="1"/>
  <c r="AV264" i="1" s="1"/>
  <c r="AT262" i="1"/>
  <c r="AU262" i="1" s="1"/>
  <c r="AV262" i="1" s="1"/>
  <c r="AT261" i="1"/>
  <c r="AU261" i="1" s="1"/>
  <c r="AV261" i="1" s="1"/>
  <c r="AT257" i="1"/>
  <c r="AU257" i="1" s="1"/>
  <c r="AV257" i="1" s="1"/>
  <c r="AT256" i="1"/>
  <c r="AU256" i="1" s="1"/>
  <c r="AV256" i="1" s="1"/>
  <c r="AT255" i="1"/>
  <c r="AU255" i="1" s="1"/>
  <c r="AV255" i="1" s="1"/>
  <c r="AT254" i="1"/>
  <c r="AU254" i="1" s="1"/>
  <c r="AV254" i="1" s="1"/>
  <c r="AT252" i="1"/>
  <c r="AU252" i="1" s="1"/>
  <c r="AV252" i="1" s="1"/>
  <c r="AT251" i="1"/>
  <c r="AU251" i="1" s="1"/>
  <c r="AV251" i="1" s="1"/>
  <c r="AT250" i="1"/>
  <c r="AU250" i="1" s="1"/>
  <c r="AV250" i="1" s="1"/>
  <c r="AT249" i="1"/>
  <c r="AU249" i="1" s="1"/>
  <c r="AV249" i="1" s="1"/>
  <c r="AT248" i="1"/>
  <c r="AU248" i="1" s="1"/>
  <c r="AV248" i="1" s="1"/>
  <c r="AT247" i="1"/>
  <c r="AU247" i="1" s="1"/>
  <c r="AV247" i="1" s="1"/>
  <c r="AT246" i="1"/>
  <c r="AU246" i="1" s="1"/>
  <c r="AV246" i="1" s="1"/>
  <c r="AT245" i="1"/>
  <c r="AU245" i="1" s="1"/>
  <c r="AV245" i="1" s="1"/>
  <c r="AT244" i="1"/>
  <c r="AU244" i="1" s="1"/>
  <c r="AV244" i="1" s="1"/>
  <c r="AT243" i="1"/>
  <c r="AU243" i="1" s="1"/>
  <c r="AV243" i="1" s="1"/>
  <c r="AT242" i="1"/>
  <c r="AU242" i="1" s="1"/>
  <c r="AV242" i="1" s="1"/>
  <c r="AT241" i="1"/>
  <c r="AU241" i="1" s="1"/>
  <c r="AV241" i="1" s="1"/>
  <c r="AT240" i="1"/>
  <c r="AU240" i="1" s="1"/>
  <c r="AV240" i="1" s="1"/>
  <c r="AT239" i="1"/>
  <c r="AU239" i="1" s="1"/>
  <c r="AV239" i="1" s="1"/>
  <c r="AT238" i="1"/>
  <c r="AU238" i="1" s="1"/>
  <c r="AV238" i="1" s="1"/>
  <c r="AT237" i="1"/>
  <c r="AU237" i="1" s="1"/>
  <c r="AV237" i="1" s="1"/>
  <c r="AT236" i="1"/>
  <c r="AU236" i="1" s="1"/>
  <c r="AV236" i="1" s="1"/>
  <c r="AT235" i="1"/>
  <c r="AU235" i="1" s="1"/>
  <c r="AV235" i="1" s="1"/>
  <c r="AT233" i="1"/>
  <c r="AU233" i="1" s="1"/>
  <c r="AV233" i="1" s="1"/>
  <c r="AT232" i="1"/>
  <c r="AU232" i="1" s="1"/>
  <c r="AV232" i="1" s="1"/>
  <c r="AT231" i="1"/>
  <c r="AU231" i="1" s="1"/>
  <c r="AV231" i="1" s="1"/>
  <c r="AT230" i="1"/>
  <c r="AU230" i="1" s="1"/>
  <c r="AV230" i="1" s="1"/>
  <c r="AT229" i="1"/>
  <c r="AU229" i="1" s="1"/>
  <c r="AV229" i="1" s="1"/>
  <c r="AT228" i="1"/>
  <c r="AU228" i="1" s="1"/>
  <c r="AV228" i="1" s="1"/>
  <c r="AT227" i="1"/>
  <c r="AU227" i="1" s="1"/>
  <c r="AV227" i="1" s="1"/>
  <c r="AT226" i="1"/>
  <c r="AU226" i="1" s="1"/>
  <c r="AV226" i="1" s="1"/>
  <c r="AT225" i="1"/>
  <c r="AU225" i="1" s="1"/>
  <c r="AV225" i="1" s="1"/>
  <c r="AT224" i="1"/>
  <c r="AU224" i="1" s="1"/>
  <c r="AV224" i="1" s="1"/>
  <c r="AT223" i="1"/>
  <c r="AU223" i="1" s="1"/>
  <c r="AV223" i="1" s="1"/>
  <c r="AT222" i="1"/>
  <c r="AU222" i="1" s="1"/>
  <c r="AV222" i="1" s="1"/>
  <c r="AT221" i="1"/>
  <c r="AU221" i="1" s="1"/>
  <c r="AV221" i="1" s="1"/>
  <c r="AT220" i="1"/>
  <c r="AU220" i="1" s="1"/>
  <c r="AV220" i="1" s="1"/>
  <c r="AT219" i="1"/>
  <c r="AU219" i="1" s="1"/>
  <c r="AV219" i="1" s="1"/>
  <c r="AT218" i="1"/>
  <c r="AU218" i="1" s="1"/>
  <c r="AV218" i="1" s="1"/>
  <c r="AT217" i="1"/>
  <c r="AU217" i="1" s="1"/>
  <c r="AV217" i="1" s="1"/>
  <c r="AT216" i="1"/>
  <c r="AU216" i="1" s="1"/>
  <c r="AV216" i="1" s="1"/>
  <c r="AT215" i="1"/>
  <c r="AU215" i="1" s="1"/>
  <c r="AV215" i="1" s="1"/>
  <c r="AT214" i="1"/>
  <c r="AU214" i="1" s="1"/>
  <c r="AV214" i="1" s="1"/>
  <c r="AT213" i="1"/>
  <c r="AU213" i="1" s="1"/>
  <c r="AV213" i="1" s="1"/>
  <c r="AT212" i="1"/>
  <c r="AU212" i="1" s="1"/>
  <c r="AV212" i="1" s="1"/>
  <c r="AT211" i="1"/>
  <c r="AU211" i="1" s="1"/>
  <c r="AV211" i="1" s="1"/>
  <c r="AT210" i="1"/>
  <c r="AU210" i="1" s="1"/>
  <c r="AV210" i="1" s="1"/>
  <c r="AT209" i="1"/>
  <c r="AU209" i="1" s="1"/>
  <c r="AV209" i="1" s="1"/>
  <c r="AT208" i="1"/>
  <c r="AU208" i="1" s="1"/>
  <c r="AV208" i="1" s="1"/>
  <c r="AT207" i="1"/>
  <c r="AU207" i="1" s="1"/>
  <c r="AV207" i="1" s="1"/>
  <c r="AT206" i="1"/>
  <c r="AU206" i="1" s="1"/>
  <c r="AV206" i="1" s="1"/>
  <c r="AT205" i="1"/>
  <c r="AU205" i="1" s="1"/>
  <c r="AV205" i="1" s="1"/>
  <c r="AT204" i="1"/>
  <c r="AU204" i="1" s="1"/>
  <c r="AV204" i="1" s="1"/>
  <c r="AT203" i="1"/>
  <c r="AU203" i="1" s="1"/>
  <c r="AV203" i="1" s="1"/>
  <c r="AT202" i="1"/>
  <c r="AU202" i="1" s="1"/>
  <c r="AV202" i="1" s="1"/>
  <c r="AT201" i="1"/>
  <c r="AU201" i="1" s="1"/>
  <c r="AV201" i="1" s="1"/>
  <c r="AT200" i="1"/>
  <c r="AU200" i="1" s="1"/>
  <c r="AV200" i="1" s="1"/>
  <c r="AT199" i="1"/>
  <c r="AU199" i="1" s="1"/>
  <c r="AV199" i="1" s="1"/>
  <c r="AT198" i="1"/>
  <c r="AU198" i="1" s="1"/>
  <c r="AV198" i="1" s="1"/>
  <c r="AT197" i="1"/>
  <c r="AU197" i="1" s="1"/>
  <c r="AV197" i="1" s="1"/>
  <c r="AT196" i="1"/>
  <c r="AU196" i="1" s="1"/>
  <c r="AV196" i="1" s="1"/>
  <c r="AT195" i="1"/>
  <c r="AU195" i="1" s="1"/>
  <c r="AV195" i="1" s="1"/>
  <c r="AT194" i="1"/>
  <c r="AU194" i="1" s="1"/>
  <c r="AV194" i="1" s="1"/>
  <c r="AT193" i="1"/>
  <c r="AU193" i="1" s="1"/>
  <c r="AV193" i="1" s="1"/>
  <c r="AT192" i="1"/>
  <c r="AU192" i="1" s="1"/>
  <c r="AV192" i="1" s="1"/>
  <c r="AT191" i="1"/>
  <c r="AU191" i="1" s="1"/>
  <c r="AV191" i="1" s="1"/>
  <c r="AT190" i="1"/>
  <c r="AU190" i="1" s="1"/>
  <c r="AV190" i="1" s="1"/>
  <c r="AT189" i="1"/>
  <c r="AU189" i="1" s="1"/>
  <c r="AV189" i="1" s="1"/>
  <c r="AT188" i="1"/>
  <c r="AU188" i="1" s="1"/>
  <c r="AV188" i="1" s="1"/>
  <c r="AT187" i="1"/>
  <c r="AU187" i="1" s="1"/>
  <c r="AV187" i="1" s="1"/>
  <c r="AT186" i="1"/>
  <c r="AU186" i="1" s="1"/>
  <c r="AV186" i="1" s="1"/>
  <c r="AT185" i="1"/>
  <c r="AU185" i="1" s="1"/>
  <c r="AV185" i="1" s="1"/>
  <c r="AT184" i="1"/>
  <c r="AU184" i="1" s="1"/>
  <c r="AV184" i="1" s="1"/>
  <c r="AT183" i="1"/>
  <c r="AU183" i="1" s="1"/>
  <c r="AV183" i="1" s="1"/>
  <c r="AT182" i="1"/>
  <c r="AU182" i="1" s="1"/>
  <c r="AV182" i="1" s="1"/>
  <c r="AT181" i="1"/>
  <c r="AU181" i="1" s="1"/>
  <c r="AV181" i="1" s="1"/>
  <c r="AT180" i="1"/>
  <c r="AU180" i="1" s="1"/>
  <c r="AV180" i="1" s="1"/>
  <c r="AT179" i="1"/>
  <c r="AU179" i="1" s="1"/>
  <c r="AV179" i="1" s="1"/>
  <c r="AT177" i="1"/>
  <c r="AU177" i="1" s="1"/>
  <c r="AV177" i="1" s="1"/>
  <c r="AT176" i="1"/>
  <c r="AU176" i="1" s="1"/>
  <c r="AV176" i="1" s="1"/>
  <c r="AT175" i="1"/>
  <c r="AU175" i="1" s="1"/>
  <c r="AV175" i="1" s="1"/>
  <c r="AT174" i="1"/>
  <c r="AU174" i="1" s="1"/>
  <c r="AV174" i="1" s="1"/>
  <c r="AT173" i="1"/>
  <c r="AU173" i="1" s="1"/>
  <c r="AV173" i="1" s="1"/>
  <c r="AT172" i="1"/>
  <c r="AU172" i="1" s="1"/>
  <c r="AV172" i="1" s="1"/>
  <c r="AT171" i="1"/>
  <c r="AU171" i="1" s="1"/>
  <c r="AV171" i="1" s="1"/>
  <c r="AT170" i="1"/>
  <c r="AU170" i="1" s="1"/>
  <c r="AV170" i="1" s="1"/>
  <c r="AT169" i="1"/>
  <c r="AU169" i="1" s="1"/>
  <c r="AV169" i="1" s="1"/>
  <c r="AT168" i="1"/>
  <c r="AU168" i="1" s="1"/>
  <c r="AV168" i="1" s="1"/>
  <c r="AT167" i="1"/>
  <c r="AU167" i="1" s="1"/>
  <c r="AV167" i="1" s="1"/>
  <c r="AT166" i="1"/>
  <c r="AU166" i="1" s="1"/>
  <c r="AV166" i="1" s="1"/>
  <c r="AT164" i="1"/>
  <c r="AU164" i="1" s="1"/>
  <c r="AV164" i="1" s="1"/>
  <c r="AT160" i="1"/>
  <c r="AU160" i="1" s="1"/>
  <c r="AV160" i="1" s="1"/>
  <c r="AT159" i="1"/>
  <c r="AU159" i="1" s="1"/>
  <c r="AV159" i="1" s="1"/>
  <c r="AT157" i="1"/>
  <c r="AU157" i="1" s="1"/>
  <c r="AV157" i="1" s="1"/>
  <c r="AT156" i="1"/>
  <c r="AU156" i="1" s="1"/>
  <c r="AV156" i="1" s="1"/>
  <c r="AT155" i="1"/>
  <c r="AU155" i="1" s="1"/>
  <c r="AV155" i="1" s="1"/>
  <c r="AT153" i="1"/>
  <c r="AU153" i="1" s="1"/>
  <c r="AV153" i="1" s="1"/>
  <c r="AT152" i="1"/>
  <c r="AU152" i="1" s="1"/>
  <c r="AV152" i="1" s="1"/>
  <c r="AT151" i="1"/>
  <c r="AU151" i="1" s="1"/>
  <c r="AV151" i="1" s="1"/>
  <c r="AT150" i="1"/>
  <c r="AU150" i="1" s="1"/>
  <c r="AV150" i="1" s="1"/>
  <c r="AT149" i="1"/>
  <c r="AU149" i="1" s="1"/>
  <c r="AV149" i="1" s="1"/>
  <c r="AT148" i="1"/>
  <c r="AU148" i="1" s="1"/>
  <c r="AV148" i="1" s="1"/>
  <c r="AT147" i="1"/>
  <c r="AU147" i="1" s="1"/>
  <c r="AV147" i="1" s="1"/>
  <c r="AT146" i="1"/>
  <c r="AU146" i="1" s="1"/>
  <c r="AV146" i="1" s="1"/>
  <c r="AT145" i="1"/>
  <c r="AU145" i="1" s="1"/>
  <c r="AV145" i="1" s="1"/>
  <c r="AT143" i="1"/>
  <c r="AU143" i="1" s="1"/>
  <c r="AV143" i="1" s="1"/>
  <c r="AT142" i="1"/>
  <c r="AU142" i="1" s="1"/>
  <c r="AV142" i="1" s="1"/>
  <c r="AT141" i="1"/>
  <c r="AU141" i="1" s="1"/>
  <c r="AV141" i="1" s="1"/>
  <c r="AT139" i="1"/>
  <c r="AU139" i="1" s="1"/>
  <c r="AV139" i="1" s="1"/>
  <c r="AT138" i="1"/>
  <c r="AU138" i="1" s="1"/>
  <c r="AV138" i="1" s="1"/>
  <c r="AT136" i="1"/>
  <c r="AU136" i="1" s="1"/>
  <c r="AV136" i="1" s="1"/>
  <c r="AT135" i="1"/>
  <c r="AU135" i="1" s="1"/>
  <c r="AV135" i="1" s="1"/>
  <c r="AT134" i="1"/>
  <c r="AU134" i="1" s="1"/>
  <c r="AV134" i="1" s="1"/>
  <c r="AT133" i="1"/>
  <c r="AU133" i="1" s="1"/>
  <c r="AV133" i="1" s="1"/>
  <c r="AT132" i="1"/>
  <c r="AU132" i="1" s="1"/>
  <c r="AV132" i="1" s="1"/>
  <c r="AT131" i="1"/>
  <c r="AU131" i="1" s="1"/>
  <c r="AV131" i="1" s="1"/>
  <c r="AT130" i="1"/>
  <c r="AU130" i="1" s="1"/>
  <c r="AV130" i="1" s="1"/>
  <c r="AT129" i="1"/>
  <c r="AU129" i="1" s="1"/>
  <c r="AV129" i="1" s="1"/>
  <c r="AT128" i="1"/>
  <c r="AU128" i="1" s="1"/>
  <c r="AV128" i="1" s="1"/>
  <c r="AT127" i="1"/>
  <c r="AU127" i="1" s="1"/>
  <c r="AV127" i="1" s="1"/>
  <c r="AT126" i="1"/>
  <c r="AU126" i="1" s="1"/>
  <c r="AV126" i="1" s="1"/>
  <c r="AT123" i="1"/>
  <c r="AU123" i="1" s="1"/>
  <c r="AV123" i="1" s="1"/>
  <c r="AT122" i="1"/>
  <c r="AU122" i="1" s="1"/>
  <c r="AV122" i="1" s="1"/>
  <c r="AT121" i="1"/>
  <c r="AU121" i="1" s="1"/>
  <c r="AV121" i="1" s="1"/>
  <c r="AT120" i="1"/>
  <c r="AU120" i="1" s="1"/>
  <c r="AV120" i="1" s="1"/>
  <c r="AT119" i="1"/>
  <c r="AU119" i="1" s="1"/>
  <c r="AV119" i="1" s="1"/>
  <c r="AT118" i="1"/>
  <c r="AU118" i="1" s="1"/>
  <c r="AV118" i="1" s="1"/>
  <c r="AT117" i="1"/>
  <c r="AU117" i="1" s="1"/>
  <c r="AV117" i="1" s="1"/>
  <c r="AT116" i="1"/>
  <c r="AU116" i="1" s="1"/>
  <c r="AV116" i="1" s="1"/>
  <c r="AT115" i="1"/>
  <c r="AU115" i="1" s="1"/>
  <c r="AV115" i="1" s="1"/>
  <c r="AT114" i="1"/>
  <c r="AU114" i="1" s="1"/>
  <c r="AV114" i="1" s="1"/>
  <c r="AT113" i="1"/>
  <c r="AU113" i="1" s="1"/>
  <c r="AV113" i="1" s="1"/>
  <c r="AT112" i="1"/>
  <c r="AU112" i="1" s="1"/>
  <c r="AV112" i="1" s="1"/>
  <c r="AT111" i="1"/>
  <c r="AU111" i="1" s="1"/>
  <c r="AV111" i="1" s="1"/>
  <c r="AT110" i="1"/>
  <c r="AU110" i="1" s="1"/>
  <c r="AV110" i="1" s="1"/>
  <c r="AT109" i="1"/>
  <c r="AU109" i="1" s="1"/>
  <c r="AV109" i="1" s="1"/>
  <c r="AT108" i="1"/>
  <c r="AU108" i="1" s="1"/>
  <c r="AV108" i="1" s="1"/>
  <c r="AT107" i="1"/>
  <c r="AU107" i="1" s="1"/>
  <c r="AV107" i="1" s="1"/>
  <c r="AT106" i="1"/>
  <c r="AU106" i="1" s="1"/>
  <c r="AV106" i="1" s="1"/>
  <c r="AT105" i="1"/>
  <c r="AU105" i="1" s="1"/>
  <c r="AV105" i="1" s="1"/>
  <c r="AT104" i="1"/>
  <c r="AU104" i="1" s="1"/>
  <c r="AV104" i="1" s="1"/>
  <c r="AT103" i="1"/>
  <c r="AU103" i="1" s="1"/>
  <c r="AV103" i="1" s="1"/>
  <c r="AT102" i="1"/>
  <c r="AU102" i="1" s="1"/>
  <c r="AV102" i="1" s="1"/>
  <c r="AT101" i="1"/>
  <c r="AU101" i="1" s="1"/>
  <c r="AV101" i="1" s="1"/>
  <c r="AT100" i="1"/>
  <c r="AU100" i="1" s="1"/>
  <c r="AV100" i="1" s="1"/>
  <c r="AT99" i="1"/>
  <c r="AU99" i="1" s="1"/>
  <c r="AV99" i="1" s="1"/>
  <c r="AT98" i="1"/>
  <c r="AU98" i="1" s="1"/>
  <c r="AV98" i="1" s="1"/>
  <c r="AT94" i="1"/>
  <c r="AU94" i="1" s="1"/>
  <c r="AV94" i="1" s="1"/>
  <c r="AT93" i="1"/>
  <c r="AU93" i="1" s="1"/>
  <c r="AV93" i="1" s="1"/>
  <c r="AT91" i="1"/>
  <c r="AU91" i="1" s="1"/>
  <c r="AV91" i="1" s="1"/>
  <c r="AT90" i="1"/>
  <c r="AU90" i="1" s="1"/>
  <c r="AV90" i="1" s="1"/>
  <c r="AT89" i="1"/>
  <c r="AU89" i="1" s="1"/>
  <c r="AV89" i="1" s="1"/>
  <c r="AT88" i="1"/>
  <c r="AU88" i="1" s="1"/>
  <c r="AV88" i="1" s="1"/>
  <c r="AT87" i="1"/>
  <c r="AU87" i="1" s="1"/>
  <c r="AV87" i="1" s="1"/>
  <c r="AT86" i="1"/>
  <c r="AU86" i="1" s="1"/>
  <c r="AV86" i="1" s="1"/>
  <c r="AT85" i="1"/>
  <c r="AU85" i="1" s="1"/>
  <c r="AV85" i="1" s="1"/>
  <c r="AT83" i="1"/>
  <c r="AU83" i="1" s="1"/>
  <c r="AV83" i="1" s="1"/>
  <c r="AT82" i="1"/>
  <c r="AU82" i="1" s="1"/>
  <c r="AV82" i="1" s="1"/>
  <c r="AT80" i="1"/>
  <c r="AU80" i="1" s="1"/>
  <c r="AV80" i="1" s="1"/>
  <c r="AT79" i="1"/>
  <c r="AU79" i="1" s="1"/>
  <c r="AV79" i="1" s="1"/>
  <c r="AT78" i="1"/>
  <c r="AU78" i="1" s="1"/>
  <c r="AV78" i="1" s="1"/>
  <c r="AT77" i="1"/>
  <c r="AU77" i="1" s="1"/>
  <c r="AV77" i="1" s="1"/>
  <c r="AT76" i="1"/>
  <c r="AU76" i="1" s="1"/>
  <c r="AV76" i="1" s="1"/>
  <c r="AT72" i="1"/>
  <c r="AU72" i="1" s="1"/>
  <c r="AV72" i="1" s="1"/>
  <c r="AT71" i="1"/>
  <c r="AU71" i="1" s="1"/>
  <c r="AV71" i="1" s="1"/>
  <c r="AT70" i="1"/>
  <c r="AU70" i="1" s="1"/>
  <c r="AV70" i="1" s="1"/>
  <c r="AT69" i="1"/>
  <c r="AU69" i="1" s="1"/>
  <c r="AV69" i="1" s="1"/>
  <c r="AT68" i="1"/>
  <c r="AU68" i="1" s="1"/>
  <c r="AV68" i="1" s="1"/>
  <c r="AT67" i="1"/>
  <c r="AU67" i="1" s="1"/>
  <c r="AV67" i="1" s="1"/>
  <c r="AT66" i="1"/>
  <c r="AU66" i="1" s="1"/>
  <c r="AV66" i="1" s="1"/>
  <c r="AT65" i="1"/>
  <c r="AU65" i="1" s="1"/>
  <c r="AV65" i="1" s="1"/>
  <c r="AT64" i="1"/>
  <c r="AU64" i="1" s="1"/>
  <c r="AV64" i="1" s="1"/>
  <c r="AT63" i="1"/>
  <c r="AU63" i="1" s="1"/>
  <c r="AV63" i="1" s="1"/>
  <c r="AT62" i="1"/>
  <c r="AU62" i="1" s="1"/>
  <c r="AV62" i="1" s="1"/>
  <c r="AT61" i="1"/>
  <c r="AU61" i="1" s="1"/>
  <c r="AV61" i="1" s="1"/>
  <c r="AT60" i="1"/>
  <c r="AU60" i="1" s="1"/>
  <c r="AV60" i="1" s="1"/>
  <c r="AT59" i="1"/>
  <c r="AU59" i="1" s="1"/>
  <c r="AV59" i="1" s="1"/>
  <c r="AT58" i="1"/>
  <c r="AU58" i="1" s="1"/>
  <c r="AV58" i="1" s="1"/>
  <c r="AT57" i="1"/>
  <c r="AU57" i="1" s="1"/>
  <c r="AV57" i="1" s="1"/>
  <c r="AT56" i="1"/>
  <c r="AU56" i="1" s="1"/>
  <c r="AV56" i="1" s="1"/>
  <c r="AT55" i="1"/>
  <c r="AU55" i="1" s="1"/>
  <c r="AV55" i="1" s="1"/>
  <c r="AT54" i="1"/>
  <c r="AU54" i="1" s="1"/>
  <c r="AV54" i="1" s="1"/>
  <c r="AT53" i="1"/>
  <c r="AU53" i="1" s="1"/>
  <c r="AV53" i="1" s="1"/>
  <c r="AT51" i="1"/>
  <c r="AU51" i="1" s="1"/>
  <c r="AV51" i="1" s="1"/>
  <c r="AT50" i="1"/>
  <c r="AU50" i="1" s="1"/>
  <c r="AV50" i="1" s="1"/>
  <c r="AT49" i="1"/>
  <c r="AU49" i="1" s="1"/>
  <c r="AV49" i="1" s="1"/>
  <c r="AT48" i="1"/>
  <c r="AU48" i="1" s="1"/>
  <c r="AV48" i="1" s="1"/>
  <c r="AT3" i="1"/>
  <c r="AU3" i="1" s="1"/>
  <c r="AV3" i="1" s="1"/>
  <c r="AT2" i="1"/>
  <c r="AU2" i="1" s="1"/>
  <c r="AV2" i="1" s="1"/>
  <c r="J265" i="1"/>
  <c r="J249" i="1"/>
  <c r="J241" i="1"/>
  <c r="J240" i="1"/>
  <c r="J239" i="1"/>
  <c r="J238" i="1"/>
  <c r="J237" i="1"/>
  <c r="J202" i="1"/>
  <c r="J200" i="1"/>
  <c r="J146" i="1"/>
  <c r="J145" i="1"/>
  <c r="J77" i="1"/>
  <c r="J78" i="1"/>
  <c r="J98" i="1"/>
  <c r="J180" i="1"/>
  <c r="T60" i="5"/>
  <c r="T57" i="5" l="1"/>
  <c r="T55" i="5" l="1"/>
  <c r="T50" i="5"/>
  <c r="T48" i="5" l="1"/>
  <c r="T29" i="5"/>
  <c r="T45" i="5"/>
  <c r="T43" i="5"/>
  <c r="T42" i="5"/>
  <c r="T41" i="5"/>
  <c r="T36" i="5" l="1"/>
  <c r="T34" i="5"/>
  <c r="T33" i="5"/>
  <c r="T32" i="5"/>
  <c r="T31" i="5"/>
  <c r="T30" i="5"/>
  <c r="T27" i="5"/>
  <c r="T26" i="5"/>
  <c r="T24" i="5"/>
  <c r="S56" i="5"/>
  <c r="S50" i="5"/>
  <c r="S49" i="5"/>
  <c r="S48" i="5"/>
  <c r="S47" i="5"/>
  <c r="S46" i="5"/>
  <c r="S45" i="5"/>
  <c r="S44" i="5"/>
  <c r="S43" i="5"/>
  <c r="S42" i="5"/>
  <c r="S41" i="5"/>
  <c r="S40" i="5"/>
  <c r="S39" i="5"/>
  <c r="S38" i="5"/>
  <c r="S37" i="5"/>
  <c r="S36" i="5"/>
  <c r="S35" i="5"/>
  <c r="S34" i="5"/>
  <c r="S31" i="5"/>
  <c r="S30" i="5"/>
  <c r="S29" i="5"/>
  <c r="S28" i="5"/>
  <c r="S25" i="5"/>
  <c r="S24" i="5"/>
  <c r="T49" i="5"/>
  <c r="U49" i="5"/>
  <c r="T46" i="5"/>
  <c r="U46" i="5"/>
  <c r="V46" i="5"/>
  <c r="T37" i="5"/>
  <c r="T38" i="5"/>
  <c r="U38" i="5"/>
  <c r="V38" i="5"/>
  <c r="T39" i="5"/>
  <c r="U39" i="5"/>
  <c r="V39" i="5"/>
  <c r="AR2" i="1"/>
  <c r="AR64" i="1"/>
  <c r="AR91" i="1"/>
  <c r="AR98" i="1"/>
  <c r="AR108" i="1"/>
  <c r="AR110" i="1"/>
  <c r="AR123" i="1"/>
  <c r="AR152" i="1"/>
  <c r="AR153" i="1"/>
  <c r="J223" i="1"/>
  <c r="AR223" i="1"/>
  <c r="AR228" i="1"/>
  <c r="AR280" i="1"/>
  <c r="AR289" i="1"/>
  <c r="AR300" i="1"/>
  <c r="AR10" i="1"/>
  <c r="AR62" i="1"/>
  <c r="AR88" i="1"/>
  <c r="AR63" i="1"/>
  <c r="AR264" i="1"/>
  <c r="AR302" i="1"/>
  <c r="AR3" i="1"/>
  <c r="AR5" i="1"/>
  <c r="AR6" i="1"/>
  <c r="AR7" i="1"/>
  <c r="AR8" i="1"/>
  <c r="AR11" i="1"/>
  <c r="AR12" i="1"/>
  <c r="AR13" i="1"/>
  <c r="AR15" i="1"/>
  <c r="AR16" i="1"/>
  <c r="AR17" i="1"/>
  <c r="AR18" i="1"/>
  <c r="AR20" i="1"/>
  <c r="AR21" i="1"/>
  <c r="AR19" i="1"/>
  <c r="AR22" i="1"/>
  <c r="AR23" i="1"/>
  <c r="AR24" i="1"/>
  <c r="AR25" i="1"/>
  <c r="AR26" i="1"/>
  <c r="AR28" i="1"/>
  <c r="AR29" i="1"/>
  <c r="AR30" i="1"/>
  <c r="AR31" i="1"/>
  <c r="AR33" i="1"/>
  <c r="AR34" i="1"/>
  <c r="AR35" i="1"/>
  <c r="AR41" i="1"/>
  <c r="AR42" i="1"/>
  <c r="AR43" i="1"/>
  <c r="AR44" i="1"/>
  <c r="AR45" i="1"/>
  <c r="AR49" i="1"/>
  <c r="AR50" i="1"/>
  <c r="AR48" i="1"/>
  <c r="AR51" i="1"/>
  <c r="AR53" i="1"/>
  <c r="AR55" i="1"/>
  <c r="AR54" i="1"/>
  <c r="AR56" i="1"/>
  <c r="AR58" i="1"/>
  <c r="AR59" i="1"/>
  <c r="AR60" i="1"/>
  <c r="AR61" i="1"/>
  <c r="AR57" i="1"/>
  <c r="AR262" i="1"/>
  <c r="AR65" i="1"/>
  <c r="AR66" i="1"/>
  <c r="AR67" i="1"/>
  <c r="AR68" i="1"/>
  <c r="AR69" i="1"/>
  <c r="AR70" i="1"/>
  <c r="AR71" i="1"/>
  <c r="AR72" i="1"/>
  <c r="AR76" i="1"/>
  <c r="AR77" i="1"/>
  <c r="AR78" i="1"/>
  <c r="AR79" i="1"/>
  <c r="AR80" i="1"/>
  <c r="AR83" i="1"/>
  <c r="AR82" i="1"/>
  <c r="AR85" i="1"/>
  <c r="AR86" i="1"/>
  <c r="AR87" i="1"/>
  <c r="AR89" i="1"/>
  <c r="AR90" i="1"/>
  <c r="AR93" i="1"/>
  <c r="AR94" i="1"/>
  <c r="AR99" i="1"/>
  <c r="AR100" i="1"/>
  <c r="AR101" i="1"/>
  <c r="AR102" i="1"/>
  <c r="AR103" i="1"/>
  <c r="AR104" i="1"/>
  <c r="AR106" i="1"/>
  <c r="AR105" i="1"/>
  <c r="AR107" i="1"/>
  <c r="AR109" i="1"/>
  <c r="AR111" i="1"/>
  <c r="AR112" i="1"/>
  <c r="AR113" i="1"/>
  <c r="AR114" i="1"/>
  <c r="AR115" i="1"/>
  <c r="AR116" i="1"/>
  <c r="AR117" i="1"/>
  <c r="AR118" i="1"/>
  <c r="AR119" i="1"/>
  <c r="AR120" i="1"/>
  <c r="AR121" i="1"/>
  <c r="AR122" i="1"/>
  <c r="AR124" i="1"/>
  <c r="AS124" i="1"/>
  <c r="AR126" i="1"/>
  <c r="AR127" i="1"/>
  <c r="AR128" i="1"/>
  <c r="AR129" i="1"/>
  <c r="AR130" i="1"/>
  <c r="AR131" i="1"/>
  <c r="AR132" i="1"/>
  <c r="AR133" i="1"/>
  <c r="AR134" i="1"/>
  <c r="AR135" i="1"/>
  <c r="AR136" i="1"/>
  <c r="AR138" i="1"/>
  <c r="AR139" i="1"/>
  <c r="AR141" i="1"/>
  <c r="AR142" i="1"/>
  <c r="AR143" i="1"/>
  <c r="AR145" i="1"/>
  <c r="AR146" i="1"/>
  <c r="AR147" i="1"/>
  <c r="AR148" i="1"/>
  <c r="AR149" i="1"/>
  <c r="AR150" i="1"/>
  <c r="AR151" i="1"/>
  <c r="AR155" i="1"/>
  <c r="AR156" i="1"/>
  <c r="AR157" i="1"/>
  <c r="AR159" i="1"/>
  <c r="AR160" i="1"/>
  <c r="AR164" i="1"/>
  <c r="AR166" i="1"/>
  <c r="AR167" i="1"/>
  <c r="AR168" i="1"/>
  <c r="AR169" i="1"/>
  <c r="AR170" i="1"/>
  <c r="AR171" i="1"/>
  <c r="AR172" i="1"/>
  <c r="AR173" i="1"/>
  <c r="AR174" i="1"/>
  <c r="AR175" i="1"/>
  <c r="AR176" i="1"/>
  <c r="AR177" i="1"/>
  <c r="AR179" i="1"/>
  <c r="AR180" i="1"/>
  <c r="AR181" i="1"/>
  <c r="AR182" i="1"/>
  <c r="AR183" i="1"/>
  <c r="AR184" i="1"/>
  <c r="AR185" i="1"/>
  <c r="AR186" i="1"/>
  <c r="AR187" i="1"/>
  <c r="AR188" i="1"/>
  <c r="AR189" i="1"/>
  <c r="AR190" i="1"/>
  <c r="AR191" i="1"/>
  <c r="AR192" i="1"/>
  <c r="AR193" i="1"/>
  <c r="AR199" i="1"/>
  <c r="AR198" i="1"/>
  <c r="AR197" i="1"/>
  <c r="AR196" i="1"/>
  <c r="AR195" i="1"/>
  <c r="AR194" i="1"/>
  <c r="AR200" i="1"/>
  <c r="AR201" i="1"/>
  <c r="AR202" i="1"/>
  <c r="AR203" i="1"/>
  <c r="AR204" i="1"/>
  <c r="AR206" i="1"/>
  <c r="AR205" i="1"/>
  <c r="AR208" i="1"/>
  <c r="AR209" i="1"/>
  <c r="AR207" i="1"/>
  <c r="AR210" i="1"/>
  <c r="AR211" i="1"/>
  <c r="AR212" i="1"/>
  <c r="AR213" i="1"/>
  <c r="AR214" i="1"/>
  <c r="AR215" i="1"/>
  <c r="AR216" i="1"/>
  <c r="AR217" i="1"/>
  <c r="AR218" i="1"/>
  <c r="AR222" i="1"/>
  <c r="AR221" i="1"/>
  <c r="AR220" i="1"/>
  <c r="AR219" i="1"/>
  <c r="AR224" i="1"/>
  <c r="AR225" i="1"/>
  <c r="AR226" i="1"/>
  <c r="AR227" i="1"/>
  <c r="AR229" i="1"/>
  <c r="AR230" i="1"/>
  <c r="AR231" i="1"/>
  <c r="AR232" i="1"/>
  <c r="AR233" i="1"/>
  <c r="AR235" i="1"/>
  <c r="AR236" i="1"/>
  <c r="AR241" i="1"/>
  <c r="AR240" i="1"/>
  <c r="AR239" i="1"/>
  <c r="AR238" i="1"/>
  <c r="AR237" i="1"/>
  <c r="AR242" i="1"/>
  <c r="AR247" i="1"/>
  <c r="AR245" i="1"/>
  <c r="AR246" i="1"/>
  <c r="AR243" i="1"/>
  <c r="AR244" i="1"/>
  <c r="AR248" i="1"/>
  <c r="AR286" i="1"/>
  <c r="AS275" i="1"/>
  <c r="AR249" i="1"/>
  <c r="AR250" i="1"/>
  <c r="AR251" i="1"/>
  <c r="AR252" i="1"/>
  <c r="AR254" i="1"/>
  <c r="AR255" i="1"/>
  <c r="AR256" i="1"/>
  <c r="AR257" i="1"/>
  <c r="AR261" i="1"/>
  <c r="AR265" i="1"/>
  <c r="AR266" i="1"/>
  <c r="AR267" i="1"/>
  <c r="AR268" i="1"/>
  <c r="AR269" i="1"/>
  <c r="AR270" i="1"/>
  <c r="AR271" i="1"/>
  <c r="AR272" i="1"/>
  <c r="AR273" i="1"/>
  <c r="AR274" i="1"/>
  <c r="AR275" i="1"/>
  <c r="AR276" i="1"/>
  <c r="AR279" i="1"/>
  <c r="AR278" i="1"/>
  <c r="AR277" i="1"/>
  <c r="AR293" i="1"/>
  <c r="AR281" i="1"/>
  <c r="AR282" i="1"/>
  <c r="AR283" i="1"/>
  <c r="AR284" i="1"/>
  <c r="AR287" i="1"/>
  <c r="AR290" i="1"/>
  <c r="AR291" i="1"/>
  <c r="AR292" i="1"/>
  <c r="AR295" i="1"/>
  <c r="AR294" i="1"/>
  <c r="AR296" i="1"/>
  <c r="AR299" i="1"/>
  <c r="AR301" i="1"/>
  <c r="AR303" i="1"/>
  <c r="AR309" i="1"/>
  <c r="AR308" i="1"/>
  <c r="AR307" i="1"/>
  <c r="AR306" i="1"/>
  <c r="AR305" i="1"/>
  <c r="AR304" i="1"/>
  <c r="T17" i="5"/>
  <c r="T14" i="5"/>
  <c r="T13" i="5"/>
  <c r="T12" i="5"/>
  <c r="T11" i="5"/>
  <c r="T10" i="5"/>
  <c r="T8" i="5"/>
  <c r="T6" i="5"/>
  <c r="T7" i="5"/>
  <c r="T3" i="5"/>
  <c r="T5" i="5"/>
  <c r="T4" i="5"/>
  <c r="J160" i="1"/>
  <c r="J159" i="1"/>
  <c r="J157" i="1"/>
  <c r="J156" i="1"/>
  <c r="J155" i="1"/>
  <c r="J154" i="1"/>
  <c r="J153" i="1"/>
  <c r="J151" i="1"/>
  <c r="J125" i="1"/>
  <c r="J123" i="1"/>
  <c r="J122" i="1"/>
  <c r="J121" i="1"/>
  <c r="J120" i="1"/>
  <c r="J119" i="1"/>
  <c r="J118" i="1"/>
  <c r="J117" i="1"/>
  <c r="J116" i="1"/>
  <c r="J115" i="1"/>
  <c r="J114" i="1"/>
  <c r="J113" i="1"/>
  <c r="J112" i="1"/>
  <c r="J111" i="1"/>
  <c r="J110" i="1"/>
  <c r="J107" i="1"/>
  <c r="J18" i="1"/>
  <c r="J17" i="1"/>
  <c r="J16" i="1"/>
  <c r="J15" i="1"/>
  <c r="J13" i="1"/>
  <c r="J12" i="1"/>
  <c r="J11" i="1"/>
  <c r="J10" i="1"/>
  <c r="J9" i="1"/>
  <c r="J8" i="1"/>
  <c r="J7" i="1"/>
  <c r="J5" i="1"/>
  <c r="J6" i="1"/>
  <c r="J4" i="1"/>
  <c r="J3" i="1"/>
  <c r="W622" i="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3" i="1"/>
  <c r="W301" i="1"/>
  <c r="W300" i="1"/>
  <c r="W299" i="1"/>
  <c r="W298" i="1"/>
  <c r="W297" i="1"/>
  <c r="W296" i="1"/>
  <c r="W295" i="1"/>
  <c r="W294" i="1"/>
  <c r="W293" i="1"/>
  <c r="W292" i="1"/>
  <c r="W291" i="1"/>
  <c r="W290" i="1"/>
  <c r="W289" i="1"/>
  <c r="W288" i="1"/>
  <c r="W287" i="1"/>
  <c r="W286" i="1"/>
  <c r="W285" i="1"/>
  <c r="W284" i="1"/>
  <c r="W283" i="1"/>
  <c r="W282" i="1"/>
  <c r="W280" i="1"/>
  <c r="W279" i="1"/>
  <c r="W278" i="1"/>
  <c r="W277" i="1"/>
  <c r="W276" i="1"/>
  <c r="W275" i="1"/>
  <c r="W274" i="1"/>
  <c r="W273" i="1"/>
  <c r="W272" i="1"/>
  <c r="W271" i="1"/>
  <c r="W270" i="1"/>
  <c r="W269" i="1"/>
  <c r="W268" i="1"/>
  <c r="W267" i="1"/>
  <c r="W266" i="1"/>
  <c r="W263" i="1"/>
  <c r="W262" i="1"/>
  <c r="W261" i="1"/>
  <c r="W260" i="1"/>
  <c r="W259" i="1"/>
  <c r="W258" i="1"/>
  <c r="W257" i="1"/>
  <c r="W256" i="1"/>
  <c r="W255" i="1"/>
  <c r="W254" i="1"/>
  <c r="W253" i="1"/>
  <c r="W252" i="1"/>
  <c r="W251" i="1"/>
  <c r="W250" i="1"/>
  <c r="W248" i="1"/>
  <c r="W247" i="1"/>
  <c r="W246" i="1"/>
  <c r="W245" i="1"/>
  <c r="W244" i="1"/>
  <c r="W243" i="1"/>
  <c r="W242" i="1"/>
  <c r="W236" i="1"/>
  <c r="W235" i="1"/>
  <c r="W234" i="1"/>
  <c r="W233" i="1"/>
  <c r="W232" i="1"/>
  <c r="W231" i="1"/>
  <c r="W230" i="1"/>
  <c r="W229" i="1"/>
  <c r="W228" i="1"/>
  <c r="W227" i="1"/>
  <c r="W226" i="1"/>
  <c r="W225" i="1"/>
  <c r="W224" i="1"/>
  <c r="W222" i="1"/>
  <c r="W221" i="1"/>
  <c r="W220" i="1"/>
  <c r="W219" i="1"/>
  <c r="W218" i="1"/>
  <c r="W217" i="1"/>
  <c r="W216" i="1"/>
  <c r="W215" i="1"/>
  <c r="W214" i="1"/>
  <c r="W213" i="1"/>
  <c r="W212" i="1"/>
  <c r="W211" i="1"/>
  <c r="W210" i="1"/>
  <c r="W209" i="1"/>
  <c r="W208" i="1"/>
  <c r="W207" i="1"/>
  <c r="W206" i="1"/>
  <c r="W205" i="1"/>
  <c r="W191" i="1"/>
  <c r="W190" i="1"/>
  <c r="W189" i="1"/>
  <c r="W188" i="1"/>
  <c r="W187" i="1"/>
  <c r="W186" i="1"/>
  <c r="W185" i="1"/>
  <c r="W184" i="1"/>
  <c r="W183" i="1"/>
  <c r="W182" i="1"/>
  <c r="W175" i="1"/>
  <c r="W174" i="1"/>
  <c r="W173" i="1"/>
  <c r="W172" i="1"/>
  <c r="W171" i="1"/>
  <c r="W170" i="1"/>
  <c r="W169" i="1"/>
  <c r="W168" i="1"/>
  <c r="W167" i="1"/>
  <c r="W166" i="1"/>
  <c r="W165" i="1"/>
  <c r="W164" i="1"/>
  <c r="W163" i="1"/>
  <c r="W162" i="1"/>
  <c r="W161" i="1"/>
  <c r="W158" i="1"/>
  <c r="W152" i="1"/>
  <c r="W147" i="1"/>
  <c r="W108" i="1"/>
  <c r="W104" i="1"/>
  <c r="W94" i="1"/>
  <c r="W90" i="1"/>
  <c r="W14" i="1"/>
  <c r="G6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s="1"/>
  <c r="H4" i="4"/>
  <c r="J204" i="1"/>
  <c r="J203" i="1"/>
  <c r="J201" i="1"/>
  <c r="J199" i="1"/>
  <c r="J198" i="1"/>
  <c r="J197" i="1"/>
  <c r="J196" i="1"/>
  <c r="J195" i="1"/>
  <c r="J194" i="1"/>
  <c r="J193" i="1"/>
  <c r="J192" i="1"/>
  <c r="J181" i="1"/>
  <c r="J179" i="1"/>
  <c r="J178" i="1"/>
  <c r="J177" i="1"/>
  <c r="J176" i="1"/>
  <c r="J150" i="1"/>
  <c r="J149" i="1"/>
  <c r="J148" i="1"/>
  <c r="J144" i="1"/>
  <c r="J143" i="1"/>
  <c r="J141" i="1"/>
  <c r="J140" i="1"/>
  <c r="J139" i="1"/>
  <c r="J138" i="1"/>
  <c r="J137" i="1"/>
  <c r="J136" i="1"/>
  <c r="J135" i="1"/>
  <c r="J134" i="1"/>
  <c r="J131" i="1"/>
  <c r="J126" i="1"/>
  <c r="J106" i="1"/>
  <c r="J105" i="1"/>
  <c r="J103" i="1"/>
  <c r="J102" i="1"/>
  <c r="J101" i="1"/>
  <c r="J100" i="1"/>
  <c r="J99" i="1"/>
  <c r="J97" i="1"/>
  <c r="J96" i="1"/>
  <c r="J95" i="1"/>
  <c r="J93" i="1"/>
  <c r="J92" i="1"/>
  <c r="J91" i="1"/>
  <c r="J89" i="1"/>
  <c r="J88" i="1"/>
  <c r="J87" i="1"/>
  <c r="J86" i="1"/>
  <c r="J85" i="1"/>
  <c r="J84" i="1"/>
  <c r="J83" i="1"/>
  <c r="J82" i="1"/>
  <c r="J56" i="1"/>
  <c r="J55" i="1"/>
  <c r="J54" i="1"/>
  <c r="J53" i="1"/>
  <c r="J52" i="1"/>
  <c r="J51" i="1"/>
  <c r="J50" i="1"/>
  <c r="J49" i="1"/>
  <c r="J48" i="1"/>
  <c r="J47" i="1"/>
  <c r="J46" i="1"/>
  <c r="J45" i="1"/>
  <c r="J44" i="1"/>
  <c r="J43" i="1"/>
  <c r="J42" i="1"/>
  <c r="J41" i="1"/>
  <c r="J38" i="1"/>
  <c r="J37" i="1"/>
  <c r="J36" i="1"/>
  <c r="J264" i="1"/>
  <c r="J142" i="1"/>
  <c r="J133" i="1"/>
  <c r="J132" i="1"/>
  <c r="J130" i="1"/>
  <c r="J129" i="1"/>
  <c r="J128" i="1"/>
  <c r="J127" i="1"/>
  <c r="J2" i="1"/>
  <c r="J81" i="1"/>
  <c r="J80" i="1"/>
  <c r="J79" i="1"/>
  <c r="J75" i="1"/>
  <c r="J74" i="1"/>
  <c r="J72" i="1"/>
  <c r="J69" i="1"/>
  <c r="J76" i="1"/>
  <c r="J68" i="1"/>
  <c r="J67" i="1"/>
  <c r="J65" i="1"/>
  <c r="J63" i="1"/>
  <c r="J62" i="1"/>
  <c r="J61" i="1"/>
  <c r="J60" i="1"/>
  <c r="J59" i="1"/>
  <c r="J58" i="1"/>
  <c r="J73" i="1"/>
  <c r="J70" i="1"/>
  <c r="J64" i="1"/>
  <c r="J57" i="1"/>
  <c r="J66" i="1"/>
  <c r="J71" i="1"/>
  <c r="J34" i="1"/>
  <c r="J33" i="1"/>
  <c r="J32" i="1"/>
  <c r="J31" i="1"/>
  <c r="J281" i="1"/>
  <c r="J30" i="1"/>
  <c r="J29" i="1"/>
  <c r="J538" i="1"/>
  <c r="J305" i="1"/>
  <c r="J304" i="1"/>
  <c r="J302" i="1"/>
  <c r="J26" i="1"/>
  <c r="J25" i="1"/>
  <c r="J23" i="1"/>
  <c r="J22" i="1"/>
  <c r="J20" i="1"/>
  <c r="W538" i="1" l="1"/>
  <c r="W25" i="1"/>
  <c r="W65" i="1"/>
  <c r="W2" i="1"/>
  <c r="W18" i="1"/>
  <c r="W42" i="1"/>
  <c r="W58" i="1"/>
  <c r="W74" i="1"/>
  <c r="W122" i="1"/>
  <c r="W3" i="1"/>
  <c r="W11" i="1"/>
  <c r="W19" i="1"/>
  <c r="W27" i="1"/>
  <c r="W35" i="1"/>
  <c r="W43" i="1"/>
  <c r="W51" i="1"/>
  <c r="W59" i="1"/>
  <c r="W67" i="1"/>
  <c r="W75" i="1"/>
  <c r="W83" i="1"/>
  <c r="W91" i="1"/>
  <c r="W99" i="1"/>
  <c r="W107" i="1"/>
  <c r="W115" i="1"/>
  <c r="W123" i="1"/>
  <c r="W131" i="1"/>
  <c r="W139" i="1"/>
  <c r="W155" i="1"/>
  <c r="W179" i="1"/>
  <c r="W195" i="1"/>
  <c r="W203" i="1"/>
  <c r="W4" i="1"/>
  <c r="W12" i="1"/>
  <c r="W20" i="1"/>
  <c r="W28" i="1"/>
  <c r="W36" i="1"/>
  <c r="W44" i="1"/>
  <c r="W52" i="1"/>
  <c r="W60" i="1"/>
  <c r="W68" i="1"/>
  <c r="W76" i="1"/>
  <c r="W84" i="1"/>
  <c r="W92" i="1"/>
  <c r="W100" i="1"/>
  <c r="W116" i="1"/>
  <c r="W124" i="1"/>
  <c r="W132" i="1"/>
  <c r="W140" i="1"/>
  <c r="W148" i="1"/>
  <c r="W156" i="1"/>
  <c r="W180" i="1"/>
  <c r="W196" i="1"/>
  <c r="W204" i="1"/>
  <c r="W13" i="1"/>
  <c r="W37" i="1"/>
  <c r="W45" i="1"/>
  <c r="W69" i="1"/>
  <c r="W77" i="1"/>
  <c r="W85" i="1"/>
  <c r="W93" i="1"/>
  <c r="W101" i="1"/>
  <c r="W109" i="1"/>
  <c r="W117" i="1"/>
  <c r="W125" i="1"/>
  <c r="W133" i="1"/>
  <c r="W141" i="1"/>
  <c r="W149" i="1"/>
  <c r="W157" i="1"/>
  <c r="W181" i="1"/>
  <c r="W197" i="1"/>
  <c r="W237" i="1"/>
  <c r="W21" i="1"/>
  <c r="W53" i="1"/>
  <c r="W6" i="1"/>
  <c r="W22" i="1"/>
  <c r="W38" i="1"/>
  <c r="W54" i="1"/>
  <c r="W70" i="1"/>
  <c r="W86" i="1"/>
  <c r="W102" i="1"/>
  <c r="W110" i="1"/>
  <c r="W118" i="1"/>
  <c r="W134" i="1"/>
  <c r="W142" i="1"/>
  <c r="W150" i="1"/>
  <c r="W198" i="1"/>
  <c r="W238" i="1"/>
  <c r="W302" i="1"/>
  <c r="W5" i="1"/>
  <c r="W29" i="1"/>
  <c r="W61" i="1"/>
  <c r="W30" i="1"/>
  <c r="W46" i="1"/>
  <c r="W62" i="1"/>
  <c r="W78" i="1"/>
  <c r="W126" i="1"/>
  <c r="W7" i="1"/>
  <c r="W15" i="1"/>
  <c r="W23" i="1"/>
  <c r="W31" i="1"/>
  <c r="W39" i="1"/>
  <c r="W47" i="1"/>
  <c r="W55" i="1"/>
  <c r="W63" i="1"/>
  <c r="W71" i="1"/>
  <c r="W79" i="1"/>
  <c r="W87" i="1"/>
  <c r="W95" i="1"/>
  <c r="W103" i="1"/>
  <c r="W111" i="1"/>
  <c r="W119" i="1"/>
  <c r="W127" i="1"/>
  <c r="W135" i="1"/>
  <c r="W143" i="1"/>
  <c r="W151" i="1"/>
  <c r="W159" i="1"/>
  <c r="W199" i="1"/>
  <c r="W223" i="1"/>
  <c r="W239" i="1"/>
  <c r="W8" i="1"/>
  <c r="W16" i="1"/>
  <c r="W24" i="1"/>
  <c r="W32" i="1"/>
  <c r="W40" i="1"/>
  <c r="W48" i="1"/>
  <c r="W56" i="1"/>
  <c r="W64" i="1"/>
  <c r="W72" i="1"/>
  <c r="W80" i="1"/>
  <c r="W88" i="1"/>
  <c r="W96" i="1"/>
  <c r="W112" i="1"/>
  <c r="W120" i="1"/>
  <c r="W128" i="1"/>
  <c r="W136" i="1"/>
  <c r="W144" i="1"/>
  <c r="W160" i="1"/>
  <c r="W176" i="1"/>
  <c r="W192" i="1"/>
  <c r="W200" i="1"/>
  <c r="W240" i="1"/>
  <c r="W264" i="1"/>
  <c r="W304" i="1"/>
  <c r="W9" i="1"/>
  <c r="W33" i="1"/>
  <c r="W41" i="1"/>
  <c r="W49" i="1"/>
  <c r="W73" i="1"/>
  <c r="W81" i="1"/>
  <c r="W89" i="1"/>
  <c r="W97" i="1"/>
  <c r="W105" i="1"/>
  <c r="W113" i="1"/>
  <c r="W121" i="1"/>
  <c r="W129" i="1"/>
  <c r="W137" i="1"/>
  <c r="W145" i="1"/>
  <c r="W153" i="1"/>
  <c r="W177" i="1"/>
  <c r="W193" i="1"/>
  <c r="W201" i="1"/>
  <c r="W241" i="1"/>
  <c r="W249" i="1"/>
  <c r="W265" i="1"/>
  <c r="W281" i="1"/>
  <c r="W305" i="1"/>
  <c r="W17" i="1"/>
  <c r="W57" i="1"/>
  <c r="W10" i="1"/>
  <c r="W26" i="1"/>
  <c r="W34" i="1"/>
  <c r="W50" i="1"/>
  <c r="W66" i="1"/>
  <c r="W82" i="1"/>
  <c r="W98" i="1"/>
  <c r="W106" i="1"/>
  <c r="W114" i="1"/>
  <c r="W130" i="1"/>
  <c r="W138" i="1"/>
  <c r="W146" i="1"/>
  <c r="W154" i="1"/>
  <c r="W178" i="1"/>
  <c r="W194" i="1"/>
  <c r="W202"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<sst xmlns="http://schemas.openxmlformats.org/spreadsheetml/2006/main" count="7503" uniqueCount="2571">
  <si>
    <t>Año de protocolo</t>
  </si>
  <si>
    <t>Programa / Institución</t>
  </si>
  <si>
    <t>Línea de evaluación</t>
  </si>
  <si>
    <t>Ministerio</t>
  </si>
  <si>
    <t>Servicio público</t>
  </si>
  <si>
    <t>Clasificación</t>
  </si>
  <si>
    <t>Programa de Obras Menores de Riego. Ley 18.450</t>
  </si>
  <si>
    <t>EPG</t>
  </si>
  <si>
    <t>Ministerio de Agricultura</t>
  </si>
  <si>
    <t>Comisión Nacional de Riego</t>
  </si>
  <si>
    <t>Desempeño Medio</t>
  </si>
  <si>
    <t>Programa de Tenencia Responsable de Animales de Compañía</t>
  </si>
  <si>
    <t>Ministerio del Interior y Seguridad Pública</t>
  </si>
  <si>
    <t>Subsecretaría de Desarrollo Regional y Administrativo</t>
  </si>
  <si>
    <t>Mal Desempeño</t>
  </si>
  <si>
    <t>Programa Especial de Fomento al Riego Art. 3 Inciso 3</t>
  </si>
  <si>
    <t>Fondo de Fomento Audiovisual. Ley 19.981</t>
  </si>
  <si>
    <t>Ministerio de las Culturas, las Artes y el Patrimonio</t>
  </si>
  <si>
    <t>Subsecretaría de las Culturas y las Artes</t>
  </si>
  <si>
    <t>Fondo de Desarrollo Indígena</t>
  </si>
  <si>
    <t>Ministerio de Desarrollo Social</t>
  </si>
  <si>
    <t>Corporación Nacional de Desarrollo Indígena</t>
  </si>
  <si>
    <t>Programa de Apoyo al Aprendizaje Integral del Chile Crece Contigo</t>
  </si>
  <si>
    <t>Subsecretaría de Servicios Sociales</t>
  </si>
  <si>
    <t>Programa de Financiamiento Temprano para el Emprendimiento</t>
  </si>
  <si>
    <t>Ministerio de Economía, Fomento y Turismo</t>
  </si>
  <si>
    <t>Corporación de Fomento de la Producción</t>
  </si>
  <si>
    <t>Desempeño Bajo</t>
  </si>
  <si>
    <t>Programa de Desarrollo Empresarial en los Territorios</t>
  </si>
  <si>
    <t>Servicio de Cooperación Técnica</t>
  </si>
  <si>
    <t>Buen Desempeño</t>
  </si>
  <si>
    <t>Campamentos</t>
  </si>
  <si>
    <t>Ministerio de Vivienda y Urbanismo</t>
  </si>
  <si>
    <t>Subsecretaría de Vivienda y Urbanismo</t>
  </si>
  <si>
    <t>Programa de Obras Medianas de Riego Ley 18.450</t>
  </si>
  <si>
    <t>Formación para el Desarrollo de los Profesionales de la Educación</t>
  </si>
  <si>
    <t>Ministerio de Educación</t>
  </si>
  <si>
    <t>Subsecretaría de Educación</t>
  </si>
  <si>
    <t>Centro de Recursos para el Aprendizaje (Bibliotecas CRA)</t>
  </si>
  <si>
    <t>Programas de Rehabilitación y Reinserción Social</t>
  </si>
  <si>
    <t>Ministerio de Justicia y Derechos Humanos</t>
  </si>
  <si>
    <t>Gendarmeria de Chile</t>
  </si>
  <si>
    <t>Centros Residenciales de Administración Directa</t>
  </si>
  <si>
    <t>Servicio Nacional de Menores</t>
  </si>
  <si>
    <t>Cooperación Sur-Sur</t>
  </si>
  <si>
    <t>Ministerio de Relaciones Exteriores</t>
  </si>
  <si>
    <t>Agencia Chilena de Cooperación Internacional para el Desarrollo</t>
  </si>
  <si>
    <t>Fondo Consejo Nacional de Televisión</t>
  </si>
  <si>
    <t>Ministerio Secretaría General de Gobierno</t>
  </si>
  <si>
    <t>Consejo Nacional de Televisión</t>
  </si>
  <si>
    <t>Programa de Desarrollo Local (PRODESAL)</t>
  </si>
  <si>
    <t>Instituto de Desarrollo Agropecuario</t>
  </si>
  <si>
    <t>Bono Logro Escolar</t>
  </si>
  <si>
    <t>Fondo de Farmacia para Enfermedades Crónicas No Transmisibles en Atención Primaria de Salud (FOFAR)</t>
  </si>
  <si>
    <t>Ministerio de Salud</t>
  </si>
  <si>
    <t>Subsecretaría de Redes Asistenciales</t>
  </si>
  <si>
    <t>Plan de Ingreso, Formación y Retención de Profesionales Especialistas en el Sector Público de Salud</t>
  </si>
  <si>
    <t>Actuar a Tiempo</t>
  </si>
  <si>
    <t>Servicio Nacional para Prevención y Rehabilitación Consumo de Drogas y Alcohol</t>
  </si>
  <si>
    <t>Prevención en Programas Educacionales</t>
  </si>
  <si>
    <t>Plan Microtráfico Cero - MT0</t>
  </si>
  <si>
    <t>Subsecretaría del Interior</t>
  </si>
  <si>
    <t>Plan Nacional contra el Narcotráfico - PNCN</t>
  </si>
  <si>
    <t>Subsidio al Empleo Joven (SEJ)</t>
  </si>
  <si>
    <t>Ministerio del Trabajo y Previsión Social</t>
  </si>
  <si>
    <t>Servicio Nacional de Capacitación y Empleo</t>
  </si>
  <si>
    <t>Fondo Nacional de Fomento del Libro y la Lectura</t>
  </si>
  <si>
    <t>EFA</t>
  </si>
  <si>
    <t>Consejo Nacional de la Cultura y las Artes</t>
  </si>
  <si>
    <t>Chile Indígena</t>
  </si>
  <si>
    <t>Obras de Riego</t>
  </si>
  <si>
    <t>Ministerio de Obras Públicas</t>
  </si>
  <si>
    <t>Dirección de Obras Hidráulicas</t>
  </si>
  <si>
    <t>Recambio de Alumbrado Público</t>
  </si>
  <si>
    <t>Ministerio de Energía</t>
  </si>
  <si>
    <t>Subsecretaría de Energía</t>
  </si>
  <si>
    <t>Programas Estratégicos de Especialización Inteligente para la Competitividad</t>
  </si>
  <si>
    <t>Programas Tecnológicos Estratégicos</t>
  </si>
  <si>
    <t>Desarrollo de Capacidades Tecnológicas para Bienes Públicos y para Innovación en Sectores Estratégicos</t>
  </si>
  <si>
    <t>Subvención Pro-retención</t>
  </si>
  <si>
    <t>Programa de Apoyo a la Retención Escolar (PARE)</t>
  </si>
  <si>
    <t>Junta Nacional de Auxilio Escolar y Becas</t>
  </si>
  <si>
    <t>Beca de Apoyo a la Retención Escolar (BARE)</t>
  </si>
  <si>
    <t>Yo Elijo mi PC</t>
  </si>
  <si>
    <t>Me Conecto para Aprender</t>
  </si>
  <si>
    <t>Intervención y/o control de la población penada sujeta a la Ley 18.216</t>
  </si>
  <si>
    <t>Programas de Deportes Sistema Nacional de Competencias Deportivas</t>
  </si>
  <si>
    <t>Ministerio del Deporte</t>
  </si>
  <si>
    <t>Instituto Nacional de Deportes</t>
  </si>
  <si>
    <t>Desempeño Insuficiente</t>
  </si>
  <si>
    <t>Subsidio al Arriendo</t>
  </si>
  <si>
    <t>Programa de Acompañamiento y Acceso Efectivo a la Educación Superior (PACE)</t>
  </si>
  <si>
    <t>EI</t>
  </si>
  <si>
    <t>Becas Chile</t>
  </si>
  <si>
    <t>Comisión Nacional de Investigación Científica y Tecnológica</t>
  </si>
  <si>
    <t>Desempeño Suficiente</t>
  </si>
  <si>
    <t>Becas Nacionales de Postgrado</t>
  </si>
  <si>
    <t>Programa Alternativo y Educativo</t>
  </si>
  <si>
    <t>Junta Nacional de Jardines Infantiles</t>
  </si>
  <si>
    <t>Beca Presidente de la República</t>
  </si>
  <si>
    <t>Programas de Deportes Liderazgo Deportivo Nacional</t>
  </si>
  <si>
    <t>Recuperación de Barrios</t>
  </si>
  <si>
    <t>Programas de Deportes Escuelas Deportivas Integrales</t>
  </si>
  <si>
    <t>Atención Integral Personas con Dependencia Severa</t>
  </si>
  <si>
    <t>Plan Comunal de Seguridad Pública</t>
  </si>
  <si>
    <t>Subsecretaría de Prevención del Delito</t>
  </si>
  <si>
    <t>Atención, Protección y Reparación Integral de Violencias contra las Mujeres</t>
  </si>
  <si>
    <t>Ministerio de la Mujer y la Equidad de Género</t>
  </si>
  <si>
    <t>Servicio Nacional de la Mujer y la Equidad de Género</t>
  </si>
  <si>
    <t>Programas de Deportes Fondo Nacional para el Fomento del Deporte</t>
  </si>
  <si>
    <t>Programas de Deportes Deporte y Participación Social</t>
  </si>
  <si>
    <t>Programa de Salud Bucal Programa de Salud Oral</t>
  </si>
  <si>
    <t>Programas de Salud Bucal Programa Preventivo en Salud Bucal (Sembrando Sonrisas)</t>
  </si>
  <si>
    <t>Programas de Salud Bucal Programa Más Sonrisas</t>
  </si>
  <si>
    <t>Programas de Salud Bucal Programa Mejoramiento de Acceso a la Atención Odontológica</t>
  </si>
  <si>
    <t>Prevención Integral de Violencias contra las Mujeres</t>
  </si>
  <si>
    <t>Fomento a la Innovación Empresarial</t>
  </si>
  <si>
    <t>Comité Innova Chile</t>
  </si>
  <si>
    <t>Adopción y Generación de Capacidades Tecnológicas para la Innovación</t>
  </si>
  <si>
    <t>Habitabilidad</t>
  </si>
  <si>
    <t>Fondo de Solidaridad e Inversión Social</t>
  </si>
  <si>
    <t>Capacitación en Oficios</t>
  </si>
  <si>
    <t>Subsidio Habitacional Extraordinario para Proyectos de Integración Social (DS116)</t>
  </si>
  <si>
    <t>Programas de Justicia Juvenil - Libertad Asistida Especial</t>
  </si>
  <si>
    <t>Programas de Justicia Juvenil -  Apoyo a la Reinserción  Social</t>
  </si>
  <si>
    <t>Vida Sana - Intervenciones en Factores de Riesgo de Enfermedades Crónicas</t>
  </si>
  <si>
    <t>Bono al Trabajo de la Mujer</t>
  </si>
  <si>
    <t>Inversión en la Comunidad</t>
  </si>
  <si>
    <t>Subsecretaría del Trabajo</t>
  </si>
  <si>
    <t>Red de Bibliotecas Públicas (BiblioRedes)</t>
  </si>
  <si>
    <t>Dirección de Bibliotecas, Archivos y Museos</t>
  </si>
  <si>
    <t>Fondo de Fomento al Desarrollo Científico y Tecnológico (FONDEF)</t>
  </si>
  <si>
    <t>Reinserción Escolar</t>
  </si>
  <si>
    <t>Educación para Personas Jóvenes y Adultas (EPJA)</t>
  </si>
  <si>
    <t>Familias en situación de Pobreza Extrema y Vulnerabilidad - Subsistema Seguridades y Oportunidades</t>
  </si>
  <si>
    <t>Beneficio Deudores Habitacionales (DS 51)</t>
  </si>
  <si>
    <t>Programa Apoyo Integral al Adulto Mayor Vínculos</t>
  </si>
  <si>
    <t>Programa Recambio de Calefactores a Leña</t>
  </si>
  <si>
    <t>Ministerio del Medio Ambiente</t>
  </si>
  <si>
    <t>Subsecretaría del Medio Ambiente</t>
  </si>
  <si>
    <t>Beneficio Deudores Habitacionales (DS 12)</t>
  </si>
  <si>
    <t>Mejoramiento de Condominios Sociales</t>
  </si>
  <si>
    <t>Regeneración de Condominios Sociales</t>
  </si>
  <si>
    <t>Fondo Nacional de Seguridad Pública</t>
  </si>
  <si>
    <t>Estudios Postgrado</t>
  </si>
  <si>
    <t>Programas de Justicia Juvenil - Medidas Cautelares Ambulatorias</t>
  </si>
  <si>
    <t>Programas de Justicia Juvenil - Salidas Alternativas</t>
  </si>
  <si>
    <t>Programas de Justicia Juvenil - Libertad Asistida</t>
  </si>
  <si>
    <t>Programas de Justicia Juvenil - Servicios en Beneficio de la Comunidad</t>
  </si>
  <si>
    <t>Refinanciamiento de Créditos PyME</t>
  </si>
  <si>
    <t>Promoción Turística Internacional</t>
  </si>
  <si>
    <t>Servicio Nacional de Turismo</t>
  </si>
  <si>
    <t>Fondo de Fomento para la Pesca Artesanal</t>
  </si>
  <si>
    <t>Servicio Nacional de Pesca</t>
  </si>
  <si>
    <t>Servicio Agrícola y Ganadero (SAG)</t>
  </si>
  <si>
    <t>EGI</t>
  </si>
  <si>
    <t>Servicio Agrícola y Ganadero</t>
  </si>
  <si>
    <t>No Aplica</t>
  </si>
  <si>
    <t>Fomento de la Pequeña y Mediana Minería-ENAMI</t>
  </si>
  <si>
    <t>Ministerio de Minería</t>
  </si>
  <si>
    <t>Secretaría y Administración General</t>
  </si>
  <si>
    <t>Programa de Licitaciones Defensa Penal Pública</t>
  </si>
  <si>
    <t>Defensoría Penal Pública</t>
  </si>
  <si>
    <t>Regularización Títulos de Dominio</t>
  </si>
  <si>
    <t>Ministerio de Bienes Nacionales</t>
  </si>
  <si>
    <t>Subsecretaría de Bienes Nacionales</t>
  </si>
  <si>
    <t>Infraestructura Hidráulica Agua Potable Rural (APR)</t>
  </si>
  <si>
    <t>Dirección General de Obras Públicas</t>
  </si>
  <si>
    <t>Beca Apoyo Retención Escolar</t>
  </si>
  <si>
    <t>Infraestructura Educacional (Mejoramiento de Infraestructura Escolar)</t>
  </si>
  <si>
    <t>Infraestructura Educacional (Liceos Tradicionales Municipales)</t>
  </si>
  <si>
    <t>Red Cultura</t>
  </si>
  <si>
    <t>Más Capaz</t>
  </si>
  <si>
    <t>Infraestructura Educacional (Establecimientos Subvencionados)</t>
  </si>
  <si>
    <t>Noche Digna</t>
  </si>
  <si>
    <t>4 a 7</t>
  </si>
  <si>
    <t>Servicio Nacional de la Mujer</t>
  </si>
  <si>
    <t>Adulto Mayor</t>
  </si>
  <si>
    <t>Servicio Nacional del Adulto Mayor</t>
  </si>
  <si>
    <t>Formación Inicial Docente</t>
  </si>
  <si>
    <t>Instituto de Fomento Pesquero (IFOP)</t>
  </si>
  <si>
    <t>Subsecretaría de Economía y Empresas de Menor Tamaño</t>
  </si>
  <si>
    <t>Apoyo a Víctimas</t>
  </si>
  <si>
    <t>ProChile</t>
  </si>
  <si>
    <t>Dirección General de Relaciones Económicas Internacionales</t>
  </si>
  <si>
    <t>Salas Cunas</t>
  </si>
  <si>
    <t>Programas de Fomento Asesorías Técnicas Empresariales</t>
  </si>
  <si>
    <t>Programas de Fomento Modernización de Ferias Libres</t>
  </si>
  <si>
    <t>Programas de Fomento Capital Semilla Emprendimiento</t>
  </si>
  <si>
    <t>Programas de Fomento Capital Semilla</t>
  </si>
  <si>
    <t>Programa Iniciativa Científica Milenio</t>
  </si>
  <si>
    <t>Beca Vocación de Profesor</t>
  </si>
  <si>
    <t>Equipamiento de Establecimientos de Educación Técnico Profesional</t>
  </si>
  <si>
    <t>Beca Residencia Indígena</t>
  </si>
  <si>
    <t>Resultados no Demostrados</t>
  </si>
  <si>
    <t>Beca de Integración Territorial (BIT)</t>
  </si>
  <si>
    <t>Hogares Indígenas</t>
  </si>
  <si>
    <t>Hogares Insulares V Región</t>
  </si>
  <si>
    <t>Programa de Formación de Especialistas y Subespecialistas</t>
  </si>
  <si>
    <t>Sistema Integrado de Subsidio Habitacional (DS1)</t>
  </si>
  <si>
    <t>Subsidio a la Originación</t>
  </si>
  <si>
    <t>Subsidio al Agua Potable y Alcantarillado (SAP)</t>
  </si>
  <si>
    <t>Subsidio Familiar y Asignación Familiar</t>
  </si>
  <si>
    <t>Superintendencia de Seguridad Social</t>
  </si>
  <si>
    <t>Plan Cuadrante</t>
  </si>
  <si>
    <t>Hogares JUNAEB</t>
  </si>
  <si>
    <t>Residencia Familiar Estudiantil</t>
  </si>
  <si>
    <t>Fondo de Fomento Audiovisual</t>
  </si>
  <si>
    <t>Corporaciones de Asistencia Judicial</t>
  </si>
  <si>
    <t>Fondo de Apoyo a Programas Culturales</t>
  </si>
  <si>
    <t>Posicionamiento del Deporte de Alto Rendimiento</t>
  </si>
  <si>
    <t>Programas de Fomento Desarrollo Empresarial</t>
  </si>
  <si>
    <t>Programas de Fomento Iniciativas de Desarrollo de Mercado</t>
  </si>
  <si>
    <t>Ley de Bosque Nativo</t>
  </si>
  <si>
    <t>Corporación Nacional Forestal</t>
  </si>
  <si>
    <t>ChileCompra</t>
  </si>
  <si>
    <t>Ministerio de Hacienda</t>
  </si>
  <si>
    <t>Dirección de Compras y Contratación Pública</t>
  </si>
  <si>
    <t>Puesta en valor del patrimonio</t>
  </si>
  <si>
    <t>Estudio Práctico de Unidades de Justicia Vecinal</t>
  </si>
  <si>
    <t>Programa de Inserción de Investigadores</t>
  </si>
  <si>
    <t>Fondo Nacional de Desarrollo Científico y Tecnológico (FONDECYT)</t>
  </si>
  <si>
    <t>Programa Educación Intercultural Bilingüe</t>
  </si>
  <si>
    <t>Red de Urgencia - SAPU (Servicio de Atención Primaria de Urgencia)</t>
  </si>
  <si>
    <t>Provisión Ley N° 20.378 Art. 5°</t>
  </si>
  <si>
    <t>Fondo Organización Regional de Acción Social (ORASMI)</t>
  </si>
  <si>
    <t>Red de Urgencia - SUR (Servicio de Urgencia Rural)</t>
  </si>
  <si>
    <t>Red de Urgencia - UEH (Unidad de Emergencia Hospitalaria)</t>
  </si>
  <si>
    <t>Red de Urgencia - SAUD (Sistema de Atención de Urgencia Diferida)</t>
  </si>
  <si>
    <t>Agencia Chilena de Eficiencia Energética</t>
  </si>
  <si>
    <t>Chile se pone en forma-Deporte Competitivo</t>
  </si>
  <si>
    <t>Programa de Acceso al Microcrédito</t>
  </si>
  <si>
    <t>Subsidio Nacional al Transporte Público Ley 20.378</t>
  </si>
  <si>
    <t>Ministerio de Transportes y Telecomunicaciones</t>
  </si>
  <si>
    <t>Secretaría y Administración General de Transportes</t>
  </si>
  <si>
    <t>Programa Nacional de Alimentación Complementaria</t>
  </si>
  <si>
    <t>Subsecretaría de Salud Pública</t>
  </si>
  <si>
    <t>Instituto de Seguridad Laboral (ISL)</t>
  </si>
  <si>
    <t>Instituto de Seguridad Laboral</t>
  </si>
  <si>
    <t>Programas de Empleabilidad Apoyo a tu Plan Laboral</t>
  </si>
  <si>
    <t>Programas de Empleabilidad Yo Trabajo Jóvenes</t>
  </si>
  <si>
    <t>Programas de Empleabilidad Yo Trabajo</t>
  </si>
  <si>
    <t>Compras a privados Programa Prestaciones Valoradas</t>
  </si>
  <si>
    <t>Fondo Nacional De Salud</t>
  </si>
  <si>
    <t>Programa Desarrollo Inversiones</t>
  </si>
  <si>
    <t>Programa Mejoramiento de Barrios</t>
  </si>
  <si>
    <t>Capital Semilla Emprendimiento</t>
  </si>
  <si>
    <t>Programa Vida Nueva</t>
  </si>
  <si>
    <t>Programa Nacional Inmunizaciones</t>
  </si>
  <si>
    <t>Programa de Apoyo a Familias para el Autoconsumo</t>
  </si>
  <si>
    <t>Fondo Nacional del Adulto Mayor</t>
  </si>
  <si>
    <t>Praderas Suplementarias</t>
  </si>
  <si>
    <t>Programa de Riego</t>
  </si>
  <si>
    <t>Préstamos de Fomento (Corto y Largo Plazo)</t>
  </si>
  <si>
    <t>Alianzas Productivas</t>
  </si>
  <si>
    <t>Desarrollo Integral de Pequeños Productores Campesinos del Secano - PADIS</t>
  </si>
  <si>
    <t>Programa de Desarrollo Territorial Indígena</t>
  </si>
  <si>
    <t>Convenio INDAP - PRODEMU</t>
  </si>
  <si>
    <t>Programa de Desarrollo de Acción Local - PRODESAL</t>
  </si>
  <si>
    <t>Servicios Desarrollo de Capacidades Productivas y Empresariales</t>
  </si>
  <si>
    <t>Servicios de Asesoría Técnica - SAT</t>
  </si>
  <si>
    <t>Fondo para la Educación Previsional</t>
  </si>
  <si>
    <t>Subsecretaría de Previsión Social</t>
  </si>
  <si>
    <t>Seguro Agrícola</t>
  </si>
  <si>
    <t>Subsecretaría de Agricultura</t>
  </si>
  <si>
    <t>Programas de Rehabilitación y Reinserción Social subsidio a la contratación de las PCL</t>
  </si>
  <si>
    <t>Programas de Rehabilitación y Reinserción Social reinserción con penas alternativas</t>
  </si>
  <si>
    <t>Programas de Rehabilitación y Reinserción Social programa tratamiento para hombres que ejercen violencia</t>
  </si>
  <si>
    <t>Programas de Rehabilitación y Reinserción Social programa de reinserción social</t>
  </si>
  <si>
    <t>Programas de Rehabilitación y Reinserción Social patronato nacional de reos</t>
  </si>
  <si>
    <t>Programas de Rehabilitación y Reinserción Social centros de educación y trabajo semiabiertos (CET)</t>
  </si>
  <si>
    <t>Programa de Licitaciones Sistema Nacional de Mediación</t>
  </si>
  <si>
    <t>Programa de Mejoramiento de Atención a la Infancia</t>
  </si>
  <si>
    <t>Subsidio para la Prueba de Selección Universitaria (PSU)</t>
  </si>
  <si>
    <t>Programa Vacaciones Tercera Edad (VTE)</t>
  </si>
  <si>
    <t>Giras de Estudios (GE)</t>
  </si>
  <si>
    <t>Programa de Alimentación Actividades Extraescolares</t>
  </si>
  <si>
    <t>Programa de Alimentación Estudiantes Adultos</t>
  </si>
  <si>
    <t>Programa de Alimentación Plan 12 años</t>
  </si>
  <si>
    <t>Programa de Alimentación Refuerzo Educativo</t>
  </si>
  <si>
    <t>Programa de Alimentación de vacaciones</t>
  </si>
  <si>
    <t>Fondo Nacional de Salud (FONASA)</t>
  </si>
  <si>
    <t>Bono Auge</t>
  </si>
  <si>
    <t>EPN</t>
  </si>
  <si>
    <t>Bono Trabajador Activo</t>
  </si>
  <si>
    <t>Liceos Bicentenarios de Excelencia</t>
  </si>
  <si>
    <t>Barrio en Paz</t>
  </si>
  <si>
    <t>DL 701 Bonificación Forestal</t>
  </si>
  <si>
    <t>Servicio Nacional de Menores (SENAME)</t>
  </si>
  <si>
    <t>Programa de Apoyo al Recién Nacido</t>
  </si>
  <si>
    <t>Ministerio de Planificación</t>
  </si>
  <si>
    <t>Subsecretaría de Planificación</t>
  </si>
  <si>
    <t>Programa de Alimentación para Kínder</t>
  </si>
  <si>
    <t>Programa de Alimentación para enseñanza media</t>
  </si>
  <si>
    <t>Programa de Alimentación para Pre-Kínder</t>
  </si>
  <si>
    <t>Programa de Alimentación para enseñanza básica</t>
  </si>
  <si>
    <t>Programa Abriendo Caminos (Chile Solidario)</t>
  </si>
  <si>
    <t>Bonificación al Ingreso Ético Familiar</t>
  </si>
  <si>
    <t>Programa de Protección del Patrimonio Familiar</t>
  </si>
  <si>
    <t>Programa de Mejoramiento Urbano y Equipamiento Comunal (PMU)</t>
  </si>
  <si>
    <t>Provisión Fondo de Innovación para la Competitividad (FIC Regional)</t>
  </si>
  <si>
    <t>Fondo de Gestión en Seguridad Ciudadana</t>
  </si>
  <si>
    <t>Fundación Imagen de Chile (Más Imagen CORFO)</t>
  </si>
  <si>
    <t>Fondo de Apoyo al Mejoramiento de la Gestión Educacional Municipal (FAGEM)</t>
  </si>
  <si>
    <t>Pasantías Técnicos Nivel Superior (Programa Técnicos para Chile)</t>
  </si>
  <si>
    <t>Subvención Educacional Pro Retención</t>
  </si>
  <si>
    <t>Sistema de Incentivos para la sustentabilidad de los suelos</t>
  </si>
  <si>
    <t>Programa proyectos de mejoramiento educativo</t>
  </si>
  <si>
    <t>Reemplazo Íntegro o Finalización</t>
  </si>
  <si>
    <t>Programa de Liderazgo Educativo</t>
  </si>
  <si>
    <t>Rediseño Sustantivo</t>
  </si>
  <si>
    <t>Becas Educación Superior Becas de Reparación</t>
  </si>
  <si>
    <t>Becas Educación Superior Becas de Excelencia Académica y Puntaje Nacional</t>
  </si>
  <si>
    <t>Becas Educación Superior Becas Nuevo Milenio</t>
  </si>
  <si>
    <t>Becas Educación Superior Beca Juan Gómez Millas</t>
  </si>
  <si>
    <t>Becas Educación Superior Beca Bicentenario</t>
  </si>
  <si>
    <t>Dirección Nacional del Servicio Civil</t>
  </si>
  <si>
    <t>Programa de seguridad y participación ciudadana programas de prevensión en seguridad ciudadana</t>
  </si>
  <si>
    <t>Programa de seguridad y participación ciudadana proyecto re-escolarización MINEDUC</t>
  </si>
  <si>
    <t>Programa de seguridad y participación ciudadana plan reincidentes</t>
  </si>
  <si>
    <t>Programa de seguridad y participación ciudadana municipalidades, programas comunales y de barrio</t>
  </si>
  <si>
    <t>Programa de seguridad y participación ciudadana escuelas preventivas de fútbol</t>
  </si>
  <si>
    <t>Fortalecimiento a la Gestión Subnacional</t>
  </si>
  <si>
    <t>Becas Educación Superior Becas para hijos de profesionales de la educación</t>
  </si>
  <si>
    <t>Programa Enlaces Alfabetización Digital</t>
  </si>
  <si>
    <t>Programa Enlaces Computadores para Docentes de Excelencia Pedadógica</t>
  </si>
  <si>
    <t>Programa Enlaces Informática educativa en escuelas y liceos</t>
  </si>
  <si>
    <t>Programa Enlaces Laboratorios Móviles</t>
  </si>
  <si>
    <t>Programa de investigación asociativa centros de investigación científicos y tecnológicos de excelencia</t>
  </si>
  <si>
    <t>Modificaciones en el Diseño y/o Procesos de Gestión Interna</t>
  </si>
  <si>
    <t>Programa de investigación asociativa consorcios tecnológicos empresariales</t>
  </si>
  <si>
    <t>Programa de investigación asociativa fortalecimiento de grupos de investigación</t>
  </si>
  <si>
    <t>Beca Acceso a TICs para estudiantes 7° Básico</t>
  </si>
  <si>
    <t>Conservación Vial Programa de Administración Directa</t>
  </si>
  <si>
    <t>Central Nacional de Abastecimiento (CENABAST)</t>
  </si>
  <si>
    <t>Central de Abastecimiento del Sistema Nacional de Salud</t>
  </si>
  <si>
    <t>Programa de Prevención y Control del VIH/SIDA y las Infecciones de Transmisión Sexual</t>
  </si>
  <si>
    <t>Hospitales Experimentales - Centro de Referencia de Salud de Peñalolén Cordillera Oriente</t>
  </si>
  <si>
    <t>Programa Recuperación de Barrios</t>
  </si>
  <si>
    <t>Programa de Asistencia Técnica</t>
  </si>
  <si>
    <t>Programa de Desarrollo Indígena</t>
  </si>
  <si>
    <t>Becas Educación Superior Becas para estudiantes de pedadogía</t>
  </si>
  <si>
    <t>Programa Habitabilidad Chile Solidario</t>
  </si>
  <si>
    <t>Fondo de Desarrollo de las Telecomunicaciones</t>
  </si>
  <si>
    <t>Subsecretaría de Telecomunicaciones</t>
  </si>
  <si>
    <t>Subsidio Fondo Solidario Vivienda II</t>
  </si>
  <si>
    <t>Subsidio Fondo Solidario Vivienda I</t>
  </si>
  <si>
    <t>Hospitales Experimentales - Hospital Padre Alberto Hurtado</t>
  </si>
  <si>
    <t>Hospitales Experimentales - Centro de Referencia de Salud Maipú</t>
  </si>
  <si>
    <t>Programa de Recuperación y Desarrollo Urbano de Valparaíso (PRDUV)</t>
  </si>
  <si>
    <t>Programas de Prevención al Consumo de Drogas</t>
  </si>
  <si>
    <t>Ajustes Menores</t>
  </si>
  <si>
    <t>Programas de Tratamiento y Rehabilitación</t>
  </si>
  <si>
    <t>Programa Fondo de Promoción de Exportaciones</t>
  </si>
  <si>
    <t>Programas de Fomento Fomento a la Calidad (Focal)</t>
  </si>
  <si>
    <t>Programas de Fomento Programa de Asistencia Técnica</t>
  </si>
  <si>
    <t>Programas de Fomento Programa de Preinversión</t>
  </si>
  <si>
    <t>Inglés Abre Puertas</t>
  </si>
  <si>
    <t>Programa Centros de Recursos Educativos (Bibliotecas CRA)</t>
  </si>
  <si>
    <t>Programa de Educación Extraescolar</t>
  </si>
  <si>
    <t>Subvención Escolar Preferencial</t>
  </si>
  <si>
    <t>Gendarmería de Chile (GENCHI)</t>
  </si>
  <si>
    <t>Programa de Caminos Básicos</t>
  </si>
  <si>
    <t>Programa Fondo de Promoción de Exportaciones Silvoagropecuarias</t>
  </si>
  <si>
    <t>Programa Recuperación de Suelos Degradados</t>
  </si>
  <si>
    <t>Saneamiento y Normalización de la Tenencia Irregular de la Pequeña Propiedad Raíz</t>
  </si>
  <si>
    <t>Sector Minería Subsecretaría de Minería</t>
  </si>
  <si>
    <t>Sector Minería Comisión Chilena del Cobre (COCHILCO)</t>
  </si>
  <si>
    <t>Comisión Chilena del Cobre</t>
  </si>
  <si>
    <t>Sector Minería Servicio Nacional de Geología y Minería (SERNAGEOMIN)</t>
  </si>
  <si>
    <t>Servicio Nacional de Geología y Minería</t>
  </si>
  <si>
    <t>Fundación Nacional para la Superación de la Pobreza Programa Servicio País</t>
  </si>
  <si>
    <t>Programas de Fomento Programa Territorial Integrado</t>
  </si>
  <si>
    <t>Programas de Fomento Programa de Desarrollo de Proveedores</t>
  </si>
  <si>
    <t>Programas de Fomento Programa de Emprendimientos Locales</t>
  </si>
  <si>
    <t>Programas de Fomento Proyectos Asociativos de Fomento</t>
  </si>
  <si>
    <t>Impacto Reforma Previsional</t>
  </si>
  <si>
    <t>Programa de Aumento de la Cobertura Previsional y Nivel de Pensiones de las Mujeres</t>
  </si>
  <si>
    <t>Subsidio al Empleo Joven</t>
  </si>
  <si>
    <t>Subsidio Leasing Habitacional Ley 19.281</t>
  </si>
  <si>
    <t>Corporaciones Municipales de Deporte</t>
  </si>
  <si>
    <t>Chile Crece Contigo</t>
  </si>
  <si>
    <t>Programa Mujeres Jefas de Hogar</t>
  </si>
  <si>
    <t>Fondo de Desarrollo Indígena Gestión Social</t>
  </si>
  <si>
    <t>Fondo de Desarrollo Indígena Fomento Económico</t>
  </si>
  <si>
    <t>Fundación Nacional para la Superación de la Pobreza Programa Vivienda en Zonas Aisladas</t>
  </si>
  <si>
    <t>Fundación Nacional para la Superación de la Pobreza Programa Servicios Comunitarios</t>
  </si>
  <si>
    <t>Fundación Nacional para la Superación de la Pobreza Programa Adopta Un Hermano</t>
  </si>
  <si>
    <t>Programa Previene (municipios)</t>
  </si>
  <si>
    <t>Programa de Desarrollo de Comunas Pobres</t>
  </si>
  <si>
    <t>Fondo Nacional de Desarrollo Cultural y las Artes (FONDART)</t>
  </si>
  <si>
    <t>Programa de Infraestructura Rural para el Desarrollo Territorial</t>
  </si>
  <si>
    <t>Fundación de Promoción y Desarrollo de la Mujer (PRODEMU)</t>
  </si>
  <si>
    <t>Fondo de Tierras y Aguas Indígenas</t>
  </si>
  <si>
    <t>Programa de Ayudas Técnicas</t>
  </si>
  <si>
    <t>Servicio Nacional de la Discapacidad</t>
  </si>
  <si>
    <t>Programa de Prevención y Control de la Contaminación</t>
  </si>
  <si>
    <t>Ministerio Secretaría General de la Presidencia de la República</t>
  </si>
  <si>
    <t>Comisión Nacional del Medio Ambiente</t>
  </si>
  <si>
    <t>Reubicación Institucional</t>
  </si>
  <si>
    <t>Programa País de Eficiencia Energética</t>
  </si>
  <si>
    <t>Comisión Nacional de Energía</t>
  </si>
  <si>
    <t>Unidad de Atención a Víctimas</t>
  </si>
  <si>
    <t>Secretaría y Administración General de Interior</t>
  </si>
  <si>
    <t>Centros de Asistencia a Víctimas de Atentados Sexuales</t>
  </si>
  <si>
    <t>Policía de Investigaciones de Chile</t>
  </si>
  <si>
    <t>Programa de Cooperación Técnica entre Países en Desarrollo</t>
  </si>
  <si>
    <t>Agencia de Cooperación Internacional de Chile</t>
  </si>
  <si>
    <t>Sector Pesca (Instituto de Fomento Pesquero)</t>
  </si>
  <si>
    <t>Subsecretaría de Pesca</t>
  </si>
  <si>
    <t>Sector Pesca (Subsecretaría de Pesca)</t>
  </si>
  <si>
    <t>Sector Pesca (Servicio Nacional de Pesca)</t>
  </si>
  <si>
    <t>Programa de Educación Especial Diferencial</t>
  </si>
  <si>
    <t>Programas de Perfeccionamiento Docente Becas de Especialización</t>
  </si>
  <si>
    <t>Programas de Perfeccionamiento Docente Formación Continua para Profesionales de la Educación</t>
  </si>
  <si>
    <t>Programas de Perfeccionamiento Docente Pasantías Nacionales</t>
  </si>
  <si>
    <t>Programas de Perfeccionamiento Docente Plan de Matemáticas</t>
  </si>
  <si>
    <t>Programas de Perfeccionamiento Docente Planes de Superación</t>
  </si>
  <si>
    <t>Programas de Perfeccionamiento Docente Áreas Prioritarias Enseñanza Básica y Media</t>
  </si>
  <si>
    <t>Bonificación Prácticas Profesionales de EMTP</t>
  </si>
  <si>
    <t>Centros de Atención Integral a Víctimas de Delitos Violentos (CAJ)</t>
  </si>
  <si>
    <t>Defensoría Penal Pública (DPP)</t>
  </si>
  <si>
    <t>Programa Bonificación a la Contratación de Mano de Obra</t>
  </si>
  <si>
    <t>Comisión de Medicina Preventiva e Invalidez (COMPIN)</t>
  </si>
  <si>
    <t>Parque Metropolitano de Santiago (PMS)</t>
  </si>
  <si>
    <t>Servicio de Vivienda y Urbanización Metropolitano (SERVIU RM)</t>
  </si>
  <si>
    <t>Generación de capacidades en localidades pobres</t>
  </si>
  <si>
    <t>Programa de Recursos Naturales y Biodiversidad</t>
  </si>
  <si>
    <t>Desarrollo Social</t>
  </si>
  <si>
    <t>Apoyo a grupos vulnerables</t>
  </si>
  <si>
    <t>Programa Intervenciones Urbanas Integrales</t>
  </si>
  <si>
    <t>Programa de Tratamiento de la Obesidad</t>
  </si>
  <si>
    <t>Instituto de Normalización Previsional (INP)</t>
  </si>
  <si>
    <t>Instituto de Normalización Previsional</t>
  </si>
  <si>
    <t>Microemprendimiento MYPIME Programa de Apoyo al Microemprendimiento</t>
  </si>
  <si>
    <t>Sistema Nacional de Inversiones</t>
  </si>
  <si>
    <t>Programa de Alto Rendimiento</t>
  </si>
  <si>
    <t>Programa de Participación Ciudadana</t>
  </si>
  <si>
    <t>Secretaría General de Gobierno</t>
  </si>
  <si>
    <t>Programa de Participación y Práctica Deportiva</t>
  </si>
  <si>
    <t>Microemprendimiento MYPIME Programa de Apoyo a Acciones Económicas</t>
  </si>
  <si>
    <t>Programa de Reforma y Modernización del Estado</t>
  </si>
  <si>
    <t>Secretaría General de la Presidencia de la República</t>
  </si>
  <si>
    <t>Plan Cuadrante de Seguridad Preventiva</t>
  </si>
  <si>
    <t>Ministerio de Defensa Nacional</t>
  </si>
  <si>
    <t>Carabineros de Chile</t>
  </si>
  <si>
    <t>Programa de Pavimentación Participativa</t>
  </si>
  <si>
    <t>Programa de Desarrollo Ganadero</t>
  </si>
  <si>
    <t>Microemprendimiento MYPIME Riego Asociativo</t>
  </si>
  <si>
    <t>Microemprendimiento MYPIME Programa de Desarrollo de Redes Pro Rubro</t>
  </si>
  <si>
    <t>Microemprendimiento MYPIME Programa de Desarrollo de Inversiones</t>
  </si>
  <si>
    <t>Microemprendimiento MYPIME Programa de Desarrollo PRODES</t>
  </si>
  <si>
    <t>Programa de Agua Potable Rural</t>
  </si>
  <si>
    <t>Microemprendimiento MYPIME Instrumentos del Programa de Fomento a la Microempresa</t>
  </si>
  <si>
    <t>Microemprendimiento MYPIME Chile Emprende</t>
  </si>
  <si>
    <t>Programa de Mejoramiento de la Gestión (PMG)</t>
  </si>
  <si>
    <t>Dirección de Presupuestos</t>
  </si>
  <si>
    <t>Educación y Capacitación Permanente Programa Especial de Educación Básica y Media</t>
  </si>
  <si>
    <t>Educación y Capacitación Permanente Proyectos de Articulación de la Formación Técnica</t>
  </si>
  <si>
    <t>Programa de Educación Preescolar (Fundación Integra)</t>
  </si>
  <si>
    <t>Programa de Educación Preescolar (Subsecretaría de Educación)</t>
  </si>
  <si>
    <t>Programa de Inspección de Establecimientos Educacionales Subvencionados</t>
  </si>
  <si>
    <t>Programa de Supervisión de Establecimientos Educacionales Subvencionados</t>
  </si>
  <si>
    <t>Programa de Educación Preescolar (Junta Nacional de Jardines Infantiles, JUNJI)</t>
  </si>
  <si>
    <t>Programa de Administración Directa (SENAME)</t>
  </si>
  <si>
    <t>Administración Sistema de Concesiones de Obras Públicas</t>
  </si>
  <si>
    <t>Microemprendimiento MYPIME Centros de Gestión</t>
  </si>
  <si>
    <t>Microemprendimiento MYPIME Programa Servicios de Asistencia Técnica</t>
  </si>
  <si>
    <t>Educación y Capacitación Permanente Programa de Educación y Capacitación Permanente</t>
  </si>
  <si>
    <t>Programa de Capacitación a Microempresas y Trabajadores Independientes</t>
  </si>
  <si>
    <t>Coordinación, Orden Público y Gestión Territorial Gobierno Más Cerca</t>
  </si>
  <si>
    <t>Servicio de Gobierno Interior</t>
  </si>
  <si>
    <t>PYME Exporta</t>
  </si>
  <si>
    <t>Becas de Postgrado AGCI</t>
  </si>
  <si>
    <t>Programa Todo Chile</t>
  </si>
  <si>
    <t>Servicio Nacional de Aduanas</t>
  </si>
  <si>
    <t>Becas de Postgrado CONICYT</t>
  </si>
  <si>
    <t>Convenios con Municipalidades y Otras Instituciones (Educación Pre Escolar)</t>
  </si>
  <si>
    <t>Chile Barrio</t>
  </si>
  <si>
    <t>Fondo Solidario de Vivienda</t>
  </si>
  <si>
    <t>Becas de Postgrado MECESUP</t>
  </si>
  <si>
    <t>Corporación Arica Parinacota</t>
  </si>
  <si>
    <t>Gobierno Regional Región I Tarapacá.</t>
  </si>
  <si>
    <t>Programa Regional de Desarrollo Científico y Tecnológico</t>
  </si>
  <si>
    <t>Dirección de Arquitectura</t>
  </si>
  <si>
    <t>Bonificación por Inversiones de Riego y Drenaje Ley N° 18.450</t>
  </si>
  <si>
    <t>Programa de Capacitación y Transferencia Tecnológica a la Pequeña Minería Artesanal</t>
  </si>
  <si>
    <t>Becas de Postgrado Funcionarios Públicos</t>
  </si>
  <si>
    <t>Becas de Postgrado Presidente de la República en el Extranjero</t>
  </si>
  <si>
    <t>Programa Iniciativa Científica Millenium</t>
  </si>
  <si>
    <t>Becas Escolares de Educación Básica y Media, Beca Presidente de la República</t>
  </si>
  <si>
    <t>PROFIM II (Extensión)</t>
  </si>
  <si>
    <t>Programa Sendero de Chile</t>
  </si>
  <si>
    <t>Programa de Electrificación Rural</t>
  </si>
  <si>
    <t>Programa de Desarrollo e Innovación Tecnológica. Subprograma de Tecnologías de Información y Comunicaciones (TICs)</t>
  </si>
  <si>
    <t>Secretaría y Administración General de Economía</t>
  </si>
  <si>
    <t>Proyecto SERNAC Facilita (Programa OIR´s)</t>
  </si>
  <si>
    <t>Servicio Nacional del Consumidor</t>
  </si>
  <si>
    <t>Fondo de Innovación Tecnológica de la región del Bío-Bío</t>
  </si>
  <si>
    <t>Corporación de Promoción Turística</t>
  </si>
  <si>
    <t>Becas Escolares de Educación Básica y Media, Beca Pensión de Alimentación</t>
  </si>
  <si>
    <t>Becas Escolares de Educación Básica y Media, Beca Indígena</t>
  </si>
  <si>
    <t>Programa de Rehabilitación y Reinserción Social - Programa Laboral en el Medio Libre</t>
  </si>
  <si>
    <t>Programa de Rehabilitación y Reinserción Social - Programa Centros de Educación y Trabajo</t>
  </si>
  <si>
    <t>Aplicación Limpieza de Calles</t>
  </si>
  <si>
    <t>Gobierno Regional Región Metropolitana de Santiago</t>
  </si>
  <si>
    <t>Programa de Rehabilitación y Reinserción Social - Programa Patronato Nacional de Reos</t>
  </si>
  <si>
    <t>Transferencias Subsecretaría de Agricultura para Innovación Agrícola</t>
  </si>
  <si>
    <t>Programa Sistema Nacional de Áreas Silvestres Protegidas</t>
  </si>
  <si>
    <t>Programa de Bonificación Forestal - DL 701</t>
  </si>
  <si>
    <t>Proyecto ISIDORA</t>
  </si>
  <si>
    <t>Becas Escolares de Educación Básica y Media, Beca Liceo para Todos</t>
  </si>
  <si>
    <t>Programa BiblioRedes</t>
  </si>
  <si>
    <t>Becas Escolares de Educación Básica y Media, Beca Primera Dama</t>
  </si>
  <si>
    <t>Infraestructura Portuaria Pesquera Artesanal</t>
  </si>
  <si>
    <t>Fondo de Investigación Pesquera</t>
  </si>
  <si>
    <t>Consejo de Política Antártica</t>
  </si>
  <si>
    <t>Instituto Antártico Chileno</t>
  </si>
  <si>
    <t>Dirección de Comunidad para Chilenos en el Exterior</t>
  </si>
  <si>
    <t>Secretaría y Administración General y Servicio Exterior</t>
  </si>
  <si>
    <t>Centro Nacional de la Productividad y la Calidad</t>
  </si>
  <si>
    <t>Programa de Mejoramiento de la Calidad y Equidad de la Educación Superior (MECESUP)</t>
  </si>
  <si>
    <t>Salud Bucal</t>
  </si>
  <si>
    <t>Borde Costero</t>
  </si>
  <si>
    <t>Subsecretaría de Marina</t>
  </si>
  <si>
    <t>Orígenes</t>
  </si>
  <si>
    <t>Conservaciones Viales</t>
  </si>
  <si>
    <t>Programas de Empleo con Apoyo Fiscal - Línea Subsecretaría</t>
  </si>
  <si>
    <t>Programas de Empleo con Apoyo Fiscal - Línea PMU</t>
  </si>
  <si>
    <t>Programas de Empleo con Apoyo Fiscal - Línea Fosis</t>
  </si>
  <si>
    <t>Programas de Empleo con Apoyo Fiscal - Línea FOSAC</t>
  </si>
  <si>
    <t>Programas de Empleo con Apoyo Fiscal - Línea Conaf</t>
  </si>
  <si>
    <t>Fondo de Solidaridad e Inversión Social (FOSIS)</t>
  </si>
  <si>
    <t>Comisión Nacional de Seguridad de Tránsito</t>
  </si>
  <si>
    <t>Obras en Espacios Públicos Patrimoniales</t>
  </si>
  <si>
    <t>Componente Reforzamiento APS Servicio de Atención Primaria de Urgencia</t>
  </si>
  <si>
    <t>Componente Reforzamiento APS Recursos, Apoyo Diagnóstico para la Resolución Ambulatoria de los Problemas Respiratorios de los Niños y Adultos</t>
  </si>
  <si>
    <t>Componente Reforzamiento APS Odontológico para Mujeres y Hombres de Escasos Recursos</t>
  </si>
  <si>
    <t>Componente Reforzamiento APS Infecciones Respiratorias Agudas del Niño (IRA)</t>
  </si>
  <si>
    <t>Componente Reforzamiento APS Incentivos para el Mejoramiento de la Gestión en el Nivel Primario de Salud</t>
  </si>
  <si>
    <t>Componente Reforzamiento APS Enfermedades Respiratorias del Adulto (ERA)</t>
  </si>
  <si>
    <t>Programas de Empleo con Apoyo Fiscal - Línea Sence</t>
  </si>
  <si>
    <t>Conciliación y Mediación</t>
  </si>
  <si>
    <t>Servicio Aerofotogramétrico de la FACH</t>
  </si>
  <si>
    <t>Servicio Aerofotogramétrico de la Fuerza Aérea de Chile</t>
  </si>
  <si>
    <t>Servicio Hidrográfico y Oceanográfico de la Armada (SHOA)</t>
  </si>
  <si>
    <t>Servicio Hidrográfico y Oceanográfico de la Armada de Chile</t>
  </si>
  <si>
    <t>Instituto Geográfico Militar</t>
  </si>
  <si>
    <t>Programa de Subvención Anual de Apoyo al Mantenimiento</t>
  </si>
  <si>
    <t>Programa de Evaluación de Programas</t>
  </si>
  <si>
    <t>Atracción de Inversiones en Alta Tecnología</t>
  </si>
  <si>
    <t>Centros de Información y Difusión Juvenil</t>
  </si>
  <si>
    <t>Instituto Nacional de la Juventud</t>
  </si>
  <si>
    <t>Relaciones Familiares (Ex Programa de Información y Orientación en Asuntos Familiares)</t>
  </si>
  <si>
    <t>Centros de Atención Integral y Prevención de la Violencia Intrafamiliar</t>
  </si>
  <si>
    <t>Programa de Nivelación de Competencias Laborales</t>
  </si>
  <si>
    <t>Fondo de Desarrollo de las Telecomunicaciones. Telecentros Comunitarios</t>
  </si>
  <si>
    <t>Préstamos Médicos en Salud</t>
  </si>
  <si>
    <t>Servicio Nacional de Capacitación y Empleo (SENCE)</t>
  </si>
  <si>
    <t>Dirección General de Aeronáutica Civil</t>
  </si>
  <si>
    <t>Programa de Segmentación Penitenciaria</t>
  </si>
  <si>
    <t>Textos Escolares Educación Básica y Media</t>
  </si>
  <si>
    <t>Educación de Adultos EFA y ETEA</t>
  </si>
  <si>
    <t>Programa de Reconversión Laboral y Productiva de la Zona del Carbón</t>
  </si>
  <si>
    <t>Fondo de Desarrollo e Innovación</t>
  </si>
  <si>
    <t>Fomento a la Inversión Privada</t>
  </si>
  <si>
    <t>Seguridad y Participación Ciudadana</t>
  </si>
  <si>
    <t>Vacaciones Tercera Edad</t>
  </si>
  <si>
    <t>Programa ENLACES</t>
  </si>
  <si>
    <t>Fortalecimiento de la Capacidad Fiscalizadora</t>
  </si>
  <si>
    <t>Dirección del Trabajo</t>
  </si>
  <si>
    <t>Establecimiento y Desarrollo de una Política Cultural de Visión Global al Exterior</t>
  </si>
  <si>
    <t>Consejo Nacional de Protección a la Ancianidad</t>
  </si>
  <si>
    <t>Fondo de Proyectos de Mejoramiento Educativo (PME)</t>
  </si>
  <si>
    <t>Formación para la Apropiación Curricular (ex Programa Perfeccionamiento Fundamental (PPF))</t>
  </si>
  <si>
    <t>Ministerio de Agricutura (Comisión Nacional de Riego)</t>
  </si>
  <si>
    <t>Ministerio de Agricutura (Corporación Nacional Forestal)</t>
  </si>
  <si>
    <t>Ministerio de Agricutura (Instituto de Desarrollo Agropecuario)</t>
  </si>
  <si>
    <t>Ministerio de Agricutura (Oficina de Estudios y Política Agrarias)</t>
  </si>
  <si>
    <t>Ministerio de Agricutura (Servicio Agrícola y Ganadero)</t>
  </si>
  <si>
    <t>Ministerio de Agricutura (Subsecretaría de Agricultura)</t>
  </si>
  <si>
    <t>Crédito Pignoraticio y Prenda Industrial sin Desplazamiento</t>
  </si>
  <si>
    <t>Dirección General de Crédito Prendario</t>
  </si>
  <si>
    <t>Salud Mental y Psiquiatría</t>
  </si>
  <si>
    <t>Programa de Fomento a la Pequeña y Mediana Minería de ENAMI</t>
  </si>
  <si>
    <t>Programa Asistencia Técnica</t>
  </si>
  <si>
    <t>Generación de Capacidades en Localidades Pobres</t>
  </si>
  <si>
    <t>Pro Rural</t>
  </si>
  <si>
    <t>Programa de Mejoramiento Urbano</t>
  </si>
  <si>
    <t>Fondo de Fomento de la Pesca Artesanal</t>
  </si>
  <si>
    <t>Chilecompra</t>
  </si>
  <si>
    <t>Programa Explora</t>
  </si>
  <si>
    <t>Subsidio al Transporte Regional</t>
  </si>
  <si>
    <t>Programa Proyectos Asociativos de Fomento (PROFOs)</t>
  </si>
  <si>
    <t>Programa Fondo de Promoción de Exportaciones - ProChile</t>
  </si>
  <si>
    <t>Actividades Específicas en el Exterior (AEE)</t>
  </si>
  <si>
    <t>Programa Fondo Social</t>
  </si>
  <si>
    <t>Programa Fomento Productivo</t>
  </si>
  <si>
    <t>Programa de Subsidio Consumo de Agua Potable y Alcantarillado</t>
  </si>
  <si>
    <t>Programa Proyecto Montegrande</t>
  </si>
  <si>
    <t>Programa Grandes Obras de Riego</t>
  </si>
  <si>
    <t>Programa Planes de Aprendizaje</t>
  </si>
  <si>
    <t>Programa de Equipamiento Comunitario</t>
  </si>
  <si>
    <t>Programa Desarrollo Social</t>
  </si>
  <si>
    <t>Programa Participación Ciudadana en Instrumentos de Gestión</t>
  </si>
  <si>
    <t>Programa Fondo de Protección Ambiental</t>
  </si>
  <si>
    <t>Programa Fondo de Tierras y Aguas Indígenas</t>
  </si>
  <si>
    <t>Programas de Promoción Deportiva</t>
  </si>
  <si>
    <t>Programa de Reforzamiento de Urgencia y Unidades Crítica</t>
  </si>
  <si>
    <t>Programa de Reconversión Laboral</t>
  </si>
  <si>
    <t>Programa Subsidio Directo a la Micro y Pequeña Empresa</t>
  </si>
  <si>
    <t>Programa Saneamiento y Normalización Tenencia Irregular</t>
  </si>
  <si>
    <t>Programa Inspección de Exportaciones</t>
  </si>
  <si>
    <t>Programa Redes de Medición</t>
  </si>
  <si>
    <t>Dirección General de Aguas</t>
  </si>
  <si>
    <t>Programa de Fortalecimiento de la Formación Inicial de Docentes</t>
  </si>
  <si>
    <t>Programa de Escuelas de Sectores Pobres (P-900)</t>
  </si>
  <si>
    <t>Programa de Prevención al Consumo de Droga</t>
  </si>
  <si>
    <t>Programa Especial de Nivelación de Educación Básica y Media para Adultos (Programa Especial. Educación Básica para Trabajadores)</t>
  </si>
  <si>
    <t>Perfeccionamiento en el Exterior para Profesionales de la Educación</t>
  </si>
  <si>
    <t>Educación Adultos a Nivel Enseñanza Básica</t>
  </si>
  <si>
    <t>Proyecto de Cooperación Técnica entre Países en Desarrollo</t>
  </si>
  <si>
    <t>Proyecto de Protección de la Capa de Ozono</t>
  </si>
  <si>
    <t>s.i</t>
  </si>
  <si>
    <t>Programa Viviendas Básicas SERVIU</t>
  </si>
  <si>
    <t>Servicio Militar Obligatorio Publicidad e Incentivos</t>
  </si>
  <si>
    <t>Dirección General de Movilización Nacional</t>
  </si>
  <si>
    <t>Prestaciones Complejas Fondo Nacional de Salud</t>
  </si>
  <si>
    <t>Administración Directa</t>
  </si>
  <si>
    <t>Mujeres Trabajadoras Temporeras (PMTT)</t>
  </si>
  <si>
    <t>Control de Área de Tráfico para Santiago (SCAT)</t>
  </si>
  <si>
    <t>Viviendas Básicas SERVIU Infraestructura Sanitaria</t>
  </si>
  <si>
    <t>Fomento a la Microempresa</t>
  </si>
  <si>
    <t>Viviendas Básicas SERVIU Adquisición de Terrenos</t>
  </si>
  <si>
    <t>Prevención y Control del VIH - SIDA y las ETS</t>
  </si>
  <si>
    <t>Recuperación de Suelos Degradados</t>
  </si>
  <si>
    <t>Rehabilitación y Construcción de Obras Medianas y Pequeñas de Riego PROM</t>
  </si>
  <si>
    <t>Pequeños Aeródromos Regionales</t>
  </si>
  <si>
    <t>Programa de Formación para el Deporte</t>
  </si>
  <si>
    <t>Dirección General de Deportes y Recreación</t>
  </si>
  <si>
    <t>Apoyo a Menores en Situación Irregular Centros de Tránsito y Distribución Ambulatorios (CTDA)</t>
  </si>
  <si>
    <t>Fondo de Desarrollo Indígena (FDI)</t>
  </si>
  <si>
    <t>Atención al Adulto Mayor Carenciado</t>
  </si>
  <si>
    <t>Programa Ampliado de Inmunización (PAI)</t>
  </si>
  <si>
    <t>Control de Emisión de Fuentes Fijas</t>
  </si>
  <si>
    <t>Servicios de Salud</t>
  </si>
  <si>
    <t>Manejo y Diversificación Forestal</t>
  </si>
  <si>
    <t>Proyecto de Desarrollo Rural. Prodecop IV Región</t>
  </si>
  <si>
    <t>Deporte de Competición Comunal, Regional y Nacional</t>
  </si>
  <si>
    <t>Programa de Atención al Maltrato Infantil</t>
  </si>
  <si>
    <t>Fondo Desarrollo Artístico y Cultural</t>
  </si>
  <si>
    <t>Becas Mineduc de Educación Superior</t>
  </si>
  <si>
    <t>Promoción Turística a Nivel Internacional</t>
  </si>
  <si>
    <t>Fortalecimiento Institucional de la Gestión Municipal PROFIM</t>
  </si>
  <si>
    <t>Programa Local de Desarrollo Juvenil</t>
  </si>
  <si>
    <t>Subsidios Viviendas Progresivas Modalidad Privada</t>
  </si>
  <si>
    <t>Subsidios de Enfermedad y Medicina Curativa</t>
  </si>
  <si>
    <t>Salud del Adulto Mayor</t>
  </si>
  <si>
    <t>Mejoramiento Urbano y Equipamiento Comunal</t>
  </si>
  <si>
    <t>Escuela de la Mujer</t>
  </si>
  <si>
    <t>Programa de Mejoramiento de Barrios</t>
  </si>
  <si>
    <t>Subsidios Rurales y de Colonización</t>
  </si>
  <si>
    <t>Programa de Fiscalización</t>
  </si>
  <si>
    <t>Programa de Becas Presidente de la República D.F.L.22</t>
  </si>
  <si>
    <t>IRAL. Desarrollo Productivo Rural</t>
  </si>
  <si>
    <t>Aplicación Artículo 55 Ley N119.284 (FONADIS)</t>
  </si>
  <si>
    <t>Fondo Nacional de Fomento al Libro y la Lectura</t>
  </si>
  <si>
    <t>Financiamiento de Pymes y Exportadoras</t>
  </si>
  <si>
    <t>Transferencias a INTEGRA</t>
  </si>
  <si>
    <t>Consejo Nacional para el Control de Estupefacientes</t>
  </si>
  <si>
    <t>Subsidios al Transporte Regional</t>
  </si>
  <si>
    <t>Programa Viviendas Progresivas</t>
  </si>
  <si>
    <t>Programa Nacional de Vigilancia y Control de Marea Roja</t>
  </si>
  <si>
    <t>Proyecto Secano Costero</t>
  </si>
  <si>
    <t>Programa de Caletas de Pesca Artesanal</t>
  </si>
  <si>
    <t>Programa de Deporte Recreativo</t>
  </si>
  <si>
    <t>Programa de Estudios Pre y Postgrado</t>
  </si>
  <si>
    <t>Programa Servicio País</t>
  </si>
  <si>
    <t>Programa de Promoción de Exportaciones</t>
  </si>
  <si>
    <t>Fondo de Asistencia Técnica (FAT)</t>
  </si>
  <si>
    <t>Proyectos de Fomento PROFOS (CORFO, SERCOTEC, Agrícola)</t>
  </si>
  <si>
    <t>Prevención a la Drogadicción y al Alcoholismo</t>
  </si>
  <si>
    <t>Fondo Nacional de Desarrollo Científico y Tecnológico</t>
  </si>
  <si>
    <t>Jardín Infantil Clásico</t>
  </si>
  <si>
    <t>Jardín Infantil Familiar</t>
  </si>
  <si>
    <t>Reinserción laboral en el medio libre (PRL)</t>
  </si>
  <si>
    <t>Proyectos de reinserción social en sistemas cerrados (RSSC)</t>
  </si>
  <si>
    <t>Centros de Educación y Trabajo (CET)</t>
  </si>
  <si>
    <t>Programa de Salud y Atención Médica Escolar</t>
  </si>
  <si>
    <t>Programas de Educación Preescolar</t>
  </si>
  <si>
    <t>Programas de Rehabilitación y Reinserción Social Patronato Nacional de Reos</t>
  </si>
  <si>
    <t>Fundación para la Innovación Agraria</t>
  </si>
  <si>
    <t>Oficina de Estudios y Políticas Agrarias</t>
  </si>
  <si>
    <t>Inversión Financiera -Prestamos INDAP</t>
  </si>
  <si>
    <t>Programa de Becas de Capacitación Laboral SENCE</t>
  </si>
  <si>
    <t>Programa Oportunidades de Atención y Reducción de Listas de Espera</t>
  </si>
  <si>
    <t>Subsidios de Reposo Maternal y Cuidado del Niño</t>
  </si>
  <si>
    <t>Programa de Áreas Prioritarias de Alcohol y Drogas</t>
  </si>
  <si>
    <t>Inversión Real en Parques Urbanos</t>
  </si>
  <si>
    <t>Transferencia Tecnológica (PTT)</t>
  </si>
  <si>
    <t>Programa Agua Potable Rural (APR)</t>
  </si>
  <si>
    <t>Programa de Alimentación Escolar (PAE)</t>
  </si>
  <si>
    <t>Proyectos de Mejoramiento Educativo (PME)</t>
  </si>
  <si>
    <t>Fondo Nacional de Desarrollo Tecnológico y Científico (FONTEC)</t>
  </si>
  <si>
    <t>Fondo Nacional de Desarrollo Regional (FNDR)</t>
  </si>
  <si>
    <t>Fondo Nacional de Pensiones Asistenciales (PASIS)</t>
  </si>
  <si>
    <t>Programa de Subsidios Especiales (PET)</t>
  </si>
  <si>
    <t>Asistencia y Capacitación a Microempresas</t>
  </si>
  <si>
    <t>Programa de Capacitación Laboral Fase II</t>
  </si>
  <si>
    <t>Apoyo a Mujeres Jefas de Hogar -Capacitación Laboral</t>
  </si>
  <si>
    <t>Bonificación Inversiones de Riego y Drenaje, Ley 18,450</t>
  </si>
  <si>
    <t>Pavimentación Participativa</t>
  </si>
  <si>
    <t>Programa de Asistencia y Modernización de Minería Artesanal (PAMMA)</t>
  </si>
  <si>
    <t>Programa de Saneamiento de Título, Banco Mundial</t>
  </si>
  <si>
    <t>Reforzamiento de la Atención Primaria (SAPU e IRA)</t>
  </si>
  <si>
    <t>Programa Nacional de Alimentación Complementaria (PNAC)</t>
  </si>
  <si>
    <t>Fondo Nacional de Subsidio Familiar (SUF)</t>
  </si>
  <si>
    <t>Equipamientos Comunitarios</t>
  </si>
  <si>
    <t>Está Vigente</t>
  </si>
  <si>
    <t>Presupuesto Anual</t>
  </si>
  <si>
    <t>Fecha inicio</t>
  </si>
  <si>
    <t>Fecha fin</t>
  </si>
  <si>
    <t>Variables comunes a todos los programas</t>
  </si>
  <si>
    <t>Si</t>
  </si>
  <si>
    <t>Característica 1</t>
  </si>
  <si>
    <t>Característica 2</t>
  </si>
  <si>
    <t>Característica 3</t>
  </si>
  <si>
    <t>Característica 4</t>
  </si>
  <si>
    <t>Característica 5</t>
  </si>
  <si>
    <t>Sustentabilidad social</t>
  </si>
  <si>
    <t>Sustentabilidad económica</t>
  </si>
  <si>
    <t>Sustentabilidad ambiental</t>
  </si>
  <si>
    <t>Riego</t>
  </si>
  <si>
    <t>Eficiencia del agua</t>
  </si>
  <si>
    <t>Observaciones</t>
  </si>
  <si>
    <t>Según los indicadores propuestos por la Consultora se evalúa el desempeño del SAG como más que suficiente</t>
  </si>
  <si>
    <t>Descargable 1</t>
  </si>
  <si>
    <t>Descargable 2</t>
  </si>
  <si>
    <t>Descargable 3</t>
  </si>
  <si>
    <t>https://www.dipres.gob.cl/597/articles-189314_r_ejecutivo_institucional.pdf</t>
  </si>
  <si>
    <t>https://www.dipres.gob.cl/597/articles-189314_informe_final.pdf</t>
  </si>
  <si>
    <t>Agricultores</t>
  </si>
  <si>
    <t>Mejoras Sistemas productivos</t>
  </si>
  <si>
    <t>Pequeños productores</t>
  </si>
  <si>
    <t>Vigente</t>
  </si>
  <si>
    <t>Prevension</t>
  </si>
  <si>
    <t>Drogas</t>
  </si>
  <si>
    <t>Alcohol</t>
  </si>
  <si>
    <t>Microtrafico</t>
  </si>
  <si>
    <t>Reduccion</t>
  </si>
  <si>
    <t>Local</t>
  </si>
  <si>
    <t>https://www.dipres.gob.cl/597/articles-177370_r_ejecutivo_institucional.pdf</t>
  </si>
  <si>
    <t>https://www.dipres.gob.cl/597/articles-177370_informe_final.pdf</t>
  </si>
  <si>
    <t>Narcotrafico</t>
  </si>
  <si>
    <t>Control fronterizo</t>
  </si>
  <si>
    <t>https://www.dipres.gob.cl/597/articles-177371_r_ejecutivo_institucional.pdf</t>
  </si>
  <si>
    <t>https://www.dipres.gob.cl/597/articles-177371_informe_final.pdf</t>
  </si>
  <si>
    <t>Seguridad Pública</t>
  </si>
  <si>
    <t xml:space="preserve">Reduccion </t>
  </si>
  <si>
    <t>ingreso distribucion y dispoinibilidad</t>
  </si>
  <si>
    <t>Bono</t>
  </si>
  <si>
    <t>Familias Vulnerables</t>
  </si>
  <si>
    <t xml:space="preserve"> Alto rendimiento académico</t>
  </si>
  <si>
    <t>Establecimientos educacionales</t>
  </si>
  <si>
    <t>https://www.dipres.gob.cl/597/articles-177365_r_ejecutivo_institucional.pdf</t>
  </si>
  <si>
    <t>https://www.dipres.gob.cl/597/articles-177365_informe_final.pdf</t>
  </si>
  <si>
    <t>https://www.dipres.gob.cl/597/articles-177365_seguimiento_compromisos.pdf</t>
  </si>
  <si>
    <t>indígenas</t>
  </si>
  <si>
    <t>recursos</t>
  </si>
  <si>
    <t>gestión</t>
  </si>
  <si>
    <t>territorios</t>
  </si>
  <si>
    <t>mejorar las condiciones de vida</t>
  </si>
  <si>
    <t>https://www.dipres.gob.cl/597/articles-177364_r_ejecutivo_institucional.pdf</t>
  </si>
  <si>
    <t>https://www.dipres.gob.cl/597/articles-177364_informe_final.pdf</t>
  </si>
  <si>
    <t>https://www.dipres.gob.cl/597/articles-177364_seguimiento_compromisos.pdf</t>
  </si>
  <si>
    <t>Desarrollo economico</t>
  </si>
  <si>
    <t>pequeñas, medianas y grandes empresas</t>
  </si>
  <si>
    <t>Innovación</t>
  </si>
  <si>
    <t>https://www.dipres.gob.cl/597/articles-177361_r_ejecutivo_institucional.pdf</t>
  </si>
  <si>
    <t>https://www.dipres.gob.cl/597/articles-177361_informe_final.pdf</t>
  </si>
  <si>
    <t>https://www.dipres.gob.cl/597/articles-177361_seguimiento_compromisos.pdf</t>
  </si>
  <si>
    <t>Internacionalización</t>
  </si>
  <si>
    <t>Fomento a la Creación</t>
  </si>
  <si>
    <t>Mejoras en infraestructura</t>
  </si>
  <si>
    <t>https://www.dipres.gob.cl/597/articles-177373_r_ejecutivo_institucional.pdf</t>
  </si>
  <si>
    <t>https://www.dipres.gob.cl/597/articles-177373_informe_final.pdf</t>
  </si>
  <si>
    <t>https://www.dipres.gob.cl/597/articles-177373_seguimiento_compromisos.pdf</t>
  </si>
  <si>
    <t>Sistema de Protección Social</t>
  </si>
  <si>
    <t>Familias vulnerables</t>
  </si>
  <si>
    <t>Sistema educativo equitativo</t>
  </si>
  <si>
    <t>Estudiantes</t>
  </si>
  <si>
    <t>Difusión</t>
  </si>
  <si>
    <t>Promoción e investigación del libro y la lectura</t>
  </si>
  <si>
    <t>Retención escolar</t>
  </si>
  <si>
    <t>Acciones Promocionales</t>
  </si>
  <si>
    <t>Acciones Preventivas</t>
  </si>
  <si>
    <t>Intervención psicosocioeducativo</t>
  </si>
  <si>
    <t>https://www.dipres.gob.cl/597/articles-177355_r_ejecutivo_institucional.pdf</t>
  </si>
  <si>
    <t>https://www.dipres.gob.cl/597/articles-177355_informe_final.pdf</t>
  </si>
  <si>
    <t>Equidad</t>
  </si>
  <si>
    <t>Sistema educativo</t>
  </si>
  <si>
    <t>Escolaridad</t>
  </si>
  <si>
    <t>Beca</t>
  </si>
  <si>
    <t>https://www.dipres.gob.cl/597/articles-177354_r_ejecutivo_institucional.pdf</t>
  </si>
  <si>
    <t>Transferencia monetaria</t>
  </si>
  <si>
    <t>Becas Tecnología</t>
  </si>
  <si>
    <t>Fomentar el acceso</t>
  </si>
  <si>
    <t>Uso de recursos tecnológicos</t>
  </si>
  <si>
    <t>Disminución brecha digital</t>
  </si>
  <si>
    <t>https://www.dipres.gob.cl/597/articles-177353_r_ejecutivo_institucional.pdf</t>
  </si>
  <si>
    <t>https://www.dipres.gob.cl/597/articles-177353_informe_final.pdf</t>
  </si>
  <si>
    <t>https://www.dipres.gob.cl/597/articles-177353_seguimiento_compromisos.pdf</t>
  </si>
  <si>
    <t>Intervención  población sujeta a Medidas Alternativas a la Reclusión</t>
  </si>
  <si>
    <t xml:space="preserve"> Remisión condicional de la pena</t>
  </si>
  <si>
    <t>Reclusión nocturna</t>
  </si>
  <si>
    <t>aplicación de beneficios</t>
  </si>
  <si>
    <t>Libertad Vigilada Adulto</t>
  </si>
  <si>
    <t>https://www.dipres.gob.cl/597/articles-177351_r_ejecutivo_institucional.pdf</t>
  </si>
  <si>
    <t>https://www.dipres.gob.cl/597/articles-177351_informe_final.pdf</t>
  </si>
  <si>
    <t>https://www.dipres.gob.cl/597/articles-177351_seguimiento_compromisos.pdf</t>
  </si>
  <si>
    <t>https://www.dipres.gob.cl/597/articles-177366_r_ejecutivo_institucional.pdf</t>
  </si>
  <si>
    <t>https://www.dipres.gob.cl/597/articles-177366_informe_final.pdf</t>
  </si>
  <si>
    <t>https://www.dipres.gob.cl/597/articles-177366_seguimiento_compromisos.pdf</t>
  </si>
  <si>
    <t>Asegurar continuidad</t>
  </si>
  <si>
    <t>Tratamientos farmacológicos</t>
  </si>
  <si>
    <t>Mejorar calidad de vida</t>
  </si>
  <si>
    <t>Acceso oportuno y seguro a medicamentos</t>
  </si>
  <si>
    <t>HTA, DM2 y DLP</t>
  </si>
  <si>
    <t>https://www.dipres.gob.cl/597/articles-177367_r_ejecutivo_institucional.pdf</t>
  </si>
  <si>
    <t>https://www.dipres.gob.cl/597/articles-177367_informe_final.pdf</t>
  </si>
  <si>
    <t>https://www.dipres.gob.cl/597/articles-177367_seguimiento_compromisos.pdf</t>
  </si>
  <si>
    <t>Aumentar la disponibilidad odontólogos</t>
  </si>
  <si>
    <t>Incrementar el número de médicos</t>
  </si>
  <si>
    <t>Incremento de la oferta de prestaciones médicas y odontológicas</t>
  </si>
  <si>
    <t>Sistema Público de Salud</t>
  </si>
  <si>
    <t>https://www.dipres.gob.cl/597/articles-177372_r_ejecutivo_institucional.pdf</t>
  </si>
  <si>
    <t>https://www.dipres.gob.cl/597/articles-177372_informe_final.pdf</t>
  </si>
  <si>
    <t>https://www.dipres.gob.cl/597/articles-177372_seguimiento_compromisos.pdf</t>
  </si>
  <si>
    <t>Subsidio entregado a trabajadores</t>
  </si>
  <si>
    <t>Subsidio otorgado al empleador</t>
  </si>
  <si>
    <t>Aporte monetario</t>
  </si>
  <si>
    <t>Jóvenes trabajadores</t>
  </si>
  <si>
    <t>planificación de las inversiones</t>
  </si>
  <si>
    <t>https://www.dipres.gob.cl/597/articles-177363_r_ejecutivo_institucional.pdf</t>
  </si>
  <si>
    <t>https://www.dipres.gob.cl/597/articles-177363_informe_final.pdf</t>
  </si>
  <si>
    <t>https://www.dipres.gob.cl/597/articles-177363_seguimiento_compromisos.pdf</t>
  </si>
  <si>
    <t>Mascotas</t>
  </si>
  <si>
    <t>Animales de compañía</t>
  </si>
  <si>
    <t>Animales potencialmente peligrosos</t>
  </si>
  <si>
    <t>Participación ciudadana en tenencia responsable</t>
  </si>
  <si>
    <t>Atención sanitaria</t>
  </si>
  <si>
    <t>https://www.dipres.gob.cl/597/articles-189325_r_ejecutivo_institucional.pdf</t>
  </si>
  <si>
    <t>https://www.dipres.gob.cl/597/articles-189325_informe_final.pdf</t>
  </si>
  <si>
    <t>Rescate conservación y difusión del patrimonio cultural audiovisual</t>
  </si>
  <si>
    <t>Formación técnica y profesional individual</t>
  </si>
  <si>
    <t>Ccortometraje , largometraje, documental, animación, videojuego narrativo</t>
  </si>
  <si>
    <t>Circulación, difusión, distribución, exhibición y participación en las obras audiovisuales</t>
  </si>
  <si>
    <t>Plataforma web</t>
  </si>
  <si>
    <t>https://www.dipres.gob.cl/597/articles-189316_r_ejecutivo_institucional.pdf</t>
  </si>
  <si>
    <t>https://www.dipres.gob.cl/597/articles-189316_informe_final.pdf</t>
  </si>
  <si>
    <t>https://www.dipres.gob.cl/597/articles-189316_seguimiento_compromisos.pdf</t>
  </si>
  <si>
    <t>Desarrollo de los Pueblos Indígenas</t>
  </si>
  <si>
    <t>Consolidación de una sociedad chilena más equitativa</t>
  </si>
  <si>
    <t>Respeta los derechos y valores culturales de los pueblos originarios</t>
  </si>
  <si>
    <t>Pertinencia cultural, identitaria y de género</t>
  </si>
  <si>
    <t>Emprendedores indígenas urbanos o rurales</t>
  </si>
  <si>
    <t>https://www.dipres.gob.cl/597/articles-189317_r_ejecutivo_institucional.pdf</t>
  </si>
  <si>
    <t>https://www.dipres.gob.cl/597/articles-189317_informe_final.pdf</t>
  </si>
  <si>
    <t>Primeros quintiles de ingreso</t>
  </si>
  <si>
    <t>Educación parvularia (Prekínder)</t>
  </si>
  <si>
    <t>Juego y estimulación en el hogar para contribuir al desarrollo integral</t>
  </si>
  <si>
    <t>Protección social</t>
  </si>
  <si>
    <t>Disminuir las brechas existentes entre niños y niñas que provienen de contextos socioeconómicos diferentes</t>
  </si>
  <si>
    <t>Extensión del Programa Chile Crece Contigo</t>
  </si>
  <si>
    <t>https://www.dipres.gob.cl/597/articles-189318_r_ejecutivo_institucional.pdf</t>
  </si>
  <si>
    <t>https://www.dipres.gob.cl/597/articles-189318_informe_final.pdf</t>
  </si>
  <si>
    <t>Desarrollo y crecimiento de emprendimientos dinámicos</t>
  </si>
  <si>
    <t>Capital Semilla</t>
  </si>
  <si>
    <t>Cofinanciamiento</t>
  </si>
  <si>
    <t>Financiamiento temprano y Start Up</t>
  </si>
  <si>
    <t>Infraestructura de apoyo al emprendimiento</t>
  </si>
  <si>
    <t>https://www.dipres.gob.cl/597/articles-189319_r_ejecutivo_institucional.pdf</t>
  </si>
  <si>
    <t>https://www.dipres.gob.cl/597/articles-189319_informe_final.pdf</t>
  </si>
  <si>
    <t>https://www.dipres.gob.cl/597/articles-189319_seguimiento_compromisos.pdf</t>
  </si>
  <si>
    <t>Competitividad de la micro y pequeña empresa, MIPE</t>
  </si>
  <si>
    <t>Capacidades de gestión</t>
  </si>
  <si>
    <t>Desempeño empresarial</t>
  </si>
  <si>
    <t>Red de Centros de Desarrollo de Negocios</t>
  </si>
  <si>
    <t>Canales de Comercialización</t>
  </si>
  <si>
    <t>https://www.dipres.gob.cl/597/articles-189321_r_ejecutivo_institucional.pdf</t>
  </si>
  <si>
    <t>https://www.dipres.gob.cl/597/articles-189321_informe_final.pdf</t>
  </si>
  <si>
    <t>Apoyo, promoción y fomento a la creación y producción audiovisual</t>
  </si>
  <si>
    <t>Potenciar la comercialización y exhibición de obras</t>
  </si>
  <si>
    <t>Largometrajes, documentales y de otros
formatos</t>
  </si>
  <si>
    <t>Cambia a otro Ministerio</t>
  </si>
  <si>
    <t>https://www.dipres.gob.cl/597/articles-139811_r_ejecutivo_institucional.pdf</t>
  </si>
  <si>
    <t>https://www.dipres.gob.cl/597/articles-139811_informe_final.pdf</t>
  </si>
  <si>
    <t>https://www.dipres.gob.cl/597/articles-139811_seguimiento_compromisos.pdf</t>
  </si>
  <si>
    <t>Servicios cofinanciados para emprendedores/as y micro y pequeñas empresas</t>
  </si>
  <si>
    <t>Asesoría en gestión empresarial</t>
  </si>
  <si>
    <t>Redes de Oportunidades de Negocios</t>
  </si>
  <si>
    <t>https://www.dipres.gob.cl/597/articles-160343_r_ejecutivo_institucional.pdf</t>
  </si>
  <si>
    <t>https://www.dipres.gob.cl/597/articles-160343_informe_final.pdf</t>
  </si>
  <si>
    <t>No</t>
  </si>
  <si>
    <t>Desarrollo Integral de Comunidades Indígenas</t>
  </si>
  <si>
    <t>Proteger y fortalecer autogestionadamente el patrimonio cultural y natural de las comunidades</t>
  </si>
  <si>
    <t>Desarrollar y autogestionar las actividades económico- productivas de las comunidades</t>
  </si>
  <si>
    <t>Programa de Educación Intercultural Bilingüe</t>
  </si>
  <si>
    <t>Programa Especial de Salud de Pueblos Indígenas</t>
  </si>
  <si>
    <t>https://www.dipres.gob.cl/597/articles-141177_r_ejecutivo_institucional.pdf</t>
  </si>
  <si>
    <t>https://www.dipres.gob.cl/597/articles-141177_informe_final.pdf</t>
  </si>
  <si>
    <t>https://www.dipres.gob.cl/597/articles-141177_seguimiento_compromisos.pdf</t>
  </si>
  <si>
    <t>Desarrollo biopsicosocial de los niños y niñas que se atienden en el sistema público de salud</t>
  </si>
  <si>
    <t>Generar condiciones básicas en el entorno psicoemocional y físico en que se desenvuelven niños y niñas</t>
  </si>
  <si>
    <t>Desarrollo armónico e integral</t>
  </si>
  <si>
    <t>Apoyos Diferenciados a niños y niñas en situación de especial vulnerabilidad</t>
  </si>
  <si>
    <t>Acceso a la Educación Parvularia</t>
  </si>
  <si>
    <t>https://www.dipres.gob.cl/597/articles-139688_r_ejecutivo_institucional.pdf</t>
  </si>
  <si>
    <t>https://www.dipres.gob.cl/597/articles-139688_informe_final.pdf</t>
  </si>
  <si>
    <t>Disminuir la brecha económica y social entre la población indígena y el resto de la población en zonas urbanas y rurales</t>
  </si>
  <si>
    <t>Servicios de capacitación para proyectos económico – productivos con recursos propios de CONADI</t>
  </si>
  <si>
    <t>Predios adquiridos por la vía del Fondo de Tierras y Aguas Indígenas</t>
  </si>
  <si>
    <t>proyectos económico – productivo con recursos CONADI</t>
  </si>
  <si>
    <t>https://www.dipres.gob.cl/597/articles-141148_r_ejecutivo_institucional.pdf</t>
  </si>
  <si>
    <t>https://www.dipres.gob.cl/597/articles-141148_informe_final.pdf</t>
  </si>
  <si>
    <t>https://www.dipres.gob.cl/597/articles-141148_seguimiento_compromisos.pdf</t>
  </si>
  <si>
    <t>https://www.dipres.gob.cl/597/articles-141147_r_ejecutivo_institucional.pdf</t>
  </si>
  <si>
    <t>https://www.dipres.gob.cl/597/articles-141147_informe_final.pdf</t>
  </si>
  <si>
    <t>https://www.dipres.gob.cl/597/articles-141147_seguimiento_compromisos.pdf</t>
  </si>
  <si>
    <t>Creación y desarrollo de iniciativas productivas de subsistencia</t>
  </si>
  <si>
    <t>Redes sociales</t>
  </si>
  <si>
    <t>Fortalecimiento de la sociedad civil indígena</t>
  </si>
  <si>
    <t>Fondo concursable</t>
  </si>
  <si>
    <t>Gestión organizacional indígena</t>
  </si>
  <si>
    <t>https://www.dipres.gob.cl/597/articles-140962_informe_final.pdf</t>
  </si>
  <si>
    <t>https://www.dipres.gob.cl/597/articles-140962_seguimiento_compromisos.pdf</t>
  </si>
  <si>
    <t>https://www.dipres.gob.cl/597/articles-189330_r_ejecutivo_institucional.pdf</t>
  </si>
  <si>
    <t>https://www.dipres.gob.cl/597/articles-189330_informe_final.pdf</t>
  </si>
  <si>
    <t>Problema habitacional</t>
  </si>
  <si>
    <t>Déficit urbano habitacional</t>
  </si>
  <si>
    <t>Proyecto de urbanización y consolidación barrial</t>
  </si>
  <si>
    <t>Diagnóstico Socio-Territorial</t>
  </si>
  <si>
    <t>Subsidio habitacional para una vivienda</t>
  </si>
  <si>
    <t>Se vincula con los programas: Subsidio Habitacional Fondo Solidario de Elección de Vivienda DS496, Sistema Integrado de Subsidio Habitacional DS17 y Programa de Habitabilidad Rural DS108</t>
  </si>
  <si>
    <t>https://www.dipres.gob.cl/597/articles-189324_r_ejecutivo_institucional.pdf</t>
  </si>
  <si>
    <t>https://www.dipres.gob.cl/597/articles-189324_informe_final.pdf</t>
  </si>
  <si>
    <t>Profesionales de la educación</t>
  </si>
  <si>
    <t>Modalidad presencial, semi presencial y en línea</t>
  </si>
  <si>
    <t>Postítulos de especialización</t>
  </si>
  <si>
    <t>Establecimientos particulares subvencionado y establecimientos municipales</t>
  </si>
  <si>
    <t>Evaluación Docente</t>
  </si>
  <si>
    <t>https://www.dipres.gob.cl/597/articles-189323_r_ejecutivo_institucional.pdf</t>
  </si>
  <si>
    <t>https://www.dipres.gob.cl/597/articles-189323_informe_final.pdf</t>
  </si>
  <si>
    <t>https://www.dipres.gob.cl/597/articles-141132_r_ejecutivo_institucional.pdf</t>
  </si>
  <si>
    <t>https://www.dipres.gob.cl/597/articles-141132_informe_final.pdf</t>
  </si>
  <si>
    <t>https://www.dipres.gob.cl/597/articles-141132_seguimiento_compromisos.pdf</t>
  </si>
  <si>
    <t>Bibliotecas escolares</t>
  </si>
  <si>
    <t>Establecimientos particulares subvencionado</t>
  </si>
  <si>
    <t>Implementación curricular y fomento lector</t>
  </si>
  <si>
    <t>Colección inicial y colección de actualización</t>
  </si>
  <si>
    <t>Cursos de Autoaprendizaje en formato e-learning</t>
  </si>
  <si>
    <t>Encuentros Creando Redes</t>
  </si>
  <si>
    <t>https://www.dipres.gob.cl/597/articles-189326_r_ejecutivo_institucional.pdf</t>
  </si>
  <si>
    <t>https://www.dipres.gob.cl/597/articles-189326_informe_final.pdf</t>
  </si>
  <si>
    <t>Convivencia social y seguridad ciudadana</t>
  </si>
  <si>
    <t>Disminución de la reincidencia delictual</t>
  </si>
  <si>
    <t>Modelo de Riesgo para intervención</t>
  </si>
  <si>
    <t>Intervención Psicosocial Criminológica</t>
  </si>
  <si>
    <t>Prestaciones para la Integración Social</t>
  </si>
  <si>
    <t>https://www.dipres.gob.cl/597/articles-189327_r_ejecutivo_institucional.pdf</t>
  </si>
  <si>
    <t>https://www.dipres.gob.cl/597/articles-189327_informe_final.pdf</t>
  </si>
  <si>
    <t>Calidad de vida</t>
  </si>
  <si>
    <t>Reparar el daño asociado a la vulneración de derechos</t>
  </si>
  <si>
    <t>Población infantil con necesidad de protección especial</t>
  </si>
  <si>
    <t>Residencias Familiares de Administración Directa</t>
  </si>
  <si>
    <t>Revincular familiarmente a niños y niñas víctimas de vulneración de derechos a un contexto familiar protector, mediante una intervención en un contexto residencial transitorio y de cuidado</t>
  </si>
  <si>
    <t>https://www.dipres.gob.cl/597/articles-189328_r_ejecutivo_institucional.pdf</t>
  </si>
  <si>
    <t>https://www.dipres.gob.cl/597/articles-189328_informe_final.pdf</t>
  </si>
  <si>
    <t>Transferencia Técnica a través de proyectos bilaterales y/o triangulares y acciones directas bilaterales</t>
  </si>
  <si>
    <t>Formación en Capital Humano a través de modalidades de becas de estudios de postgrado, pregrado, movilidad, cursos internacionales y diplomados</t>
  </si>
  <si>
    <t>América Latina, el Caribe, África y Asia</t>
  </si>
  <si>
    <t>Combatir el hambre y la pobreza en países de igual o menor nivel de desarrollo relativo que Chile</t>
  </si>
  <si>
    <t>Cooperación internacional para el desarrollo</t>
  </si>
  <si>
    <t>https://www.dipres.gob.cl/597/articles-189329_r_ejecutivo_institucional.pdf</t>
  </si>
  <si>
    <t>https://www.dipres.gob.cl/597/articles-189329_informe_final.pdf</t>
  </si>
  <si>
    <t>Programas de televisión de alto nivel cultural</t>
  </si>
  <si>
    <t>Acceso masivo y permanente a la cultura y preservación de la identidad</t>
  </si>
  <si>
    <t>Programas de televisión que propendan a la difusión de los valores cívicos y democráticos</t>
  </si>
  <si>
    <t>Programas de televisión que promuevan la diversidad en los contenidos televisivos</t>
  </si>
  <si>
    <t>Acceso a la televisión de libre recepción universal en todos los hogares</t>
  </si>
  <si>
    <t xml:space="preserve">Establecimientos educacionales </t>
  </si>
  <si>
    <t>Planificación del uso del recurso</t>
  </si>
  <si>
    <t>Derechos de aprovechamiento</t>
  </si>
  <si>
    <t>Recambio alumbrado público</t>
  </si>
  <si>
    <t>Eficiencia Energética</t>
  </si>
  <si>
    <t xml:space="preserve"> Gestión de la energía eléctrica</t>
  </si>
  <si>
    <t xml:space="preserve"> Recambio luminarias de alumbrado público</t>
  </si>
  <si>
    <t>Capacitaciones técnicas</t>
  </si>
  <si>
    <t>Superar pobreza</t>
  </si>
  <si>
    <t>mejorar capacidad de generar ingresos</t>
  </si>
  <si>
    <t> mejorar sus condiciones de vida</t>
  </si>
  <si>
    <t>https://www.dipres.gob.cl/597/articles-149528_r_ejecutivo_institucional.pdf</t>
  </si>
  <si>
    <t>https://www.dipres.gob.cl/597/articles-149528_informe_final.pdf</t>
  </si>
  <si>
    <t>https://www.dipres.gob.cl/597/articles-149528_seguimiento_compromisos.pdf</t>
  </si>
  <si>
    <t>si</t>
  </si>
  <si>
    <t>Seguridad ciudadana</t>
  </si>
  <si>
    <t>Planes Comunales</t>
  </si>
  <si>
    <t xml:space="preserve"> Reducción del delito</t>
  </si>
  <si>
    <t>Mejorar las condiciones de seguridad</t>
  </si>
  <si>
    <t>https://www.dipres.gob.cl/597/articles-149533_r_ejecutivo_institucional.pdf</t>
  </si>
  <si>
    <t>https://www.dipres.gob.cl/597/articles-149533_informe_final.pdf</t>
  </si>
  <si>
    <t>https://www.dipres.gob.cl/597/articles-149533_seguimiento_compromisos.pdf</t>
  </si>
  <si>
    <t>https://www.dipres.gob.cl/597/articles-163114_r_ejecutivo_institucional.pdf</t>
  </si>
  <si>
    <t>https://www.dipres.gob.cl/597/articles-163114_informe_final.pdf</t>
  </si>
  <si>
    <t>Deporte recreativo y de formación</t>
  </si>
  <si>
    <t>Deporte de competición y alto rendimiento</t>
  </si>
  <si>
    <t>Promover la adherencia a la práctica deportiva sistemática</t>
  </si>
  <si>
    <t>Desarrollo de una plataforma articulada entre el sector público y el privado que represente una base para la detección del alto rendimiento en el país</t>
  </si>
  <si>
    <t>Adopción de valores, hábitos, y conductas deportivas que tiendan a mejorar la calidad de vida y aumentar el rendimiento deportivo de elite a nivel internacional</t>
  </si>
  <si>
    <t>Contribuir a que el deporte de rendimiento chileno se posicione a nivel internacional</t>
  </si>
  <si>
    <t>Articulación y coordinación de los actores que forman parte del Sistema Nacional de Alto Rendimiento</t>
  </si>
  <si>
    <t>Condiciones técnicas y administrativas que les permitan a los deportistas de rendimiento, desarrollar su carrera deportiva, de acuerdo a sus planes técnicos de entrenamiento</t>
  </si>
  <si>
    <t>Fomento, ejecución, práctica y desarrollo del deporte en sus diversas modalidades y manifestaciones</t>
  </si>
  <si>
    <t>Participación ciudadana y de las organizaciones, privadas y públicas, que integran el tejido político y social</t>
  </si>
  <si>
    <t>Infraestructura Deportiva y Ciencias del Deporte</t>
  </si>
  <si>
    <t>Aumentar la práctica de actividad física y deportiva sistemática en población infanto-juvenil</t>
  </si>
  <si>
    <t>Sistema educacional preescolar JUNJI e INTEGRA, y escolar básico municipalizado y/o particular subvencionado</t>
  </si>
  <si>
    <t>Diseño de intervención físico-deportivo integral que complementa el componente deportivo con un enfoque biopsicosocial (nutrición y la psicología)</t>
  </si>
  <si>
    <t>Incrementar la adherencia a la práctica regular y sistemática de actividad física y deporte por parte de la población de 15 a 80 años de edad</t>
  </si>
  <si>
    <t>Deporte en pueblos originarios</t>
  </si>
  <si>
    <t>Deporte para personas en situación de discapacidad, Deporte en población privada de libertad, Deporte en espacios públicos</t>
  </si>
  <si>
    <t>https://www.dipres.gob.cl/597/articles-163113_r_ejecutivo_institucional.pdf</t>
  </si>
  <si>
    <t>https://www.dipres.gob.cl/597/articles-163113_informe_final.pdf</t>
  </si>
  <si>
    <t>https://www.dipres.gob.cl/597/articles-163113_seguimiento_compromisos.pdf</t>
  </si>
  <si>
    <t>https://www.dipres.gob.cl/597/articles-163111_r_ejecutivo_institucional.pdf</t>
  </si>
  <si>
    <t>https://www.dipres.gob.cl/597/articles-163111_informe_final.pdf</t>
  </si>
  <si>
    <t>https://www.dipres.gob.cl/597/articles-163111_seguimiento_compromisos.pdf</t>
  </si>
  <si>
    <t>https://www.dipres.gob.cl/597/articles-163112_r_ejecutivo_institucional.pdf</t>
  </si>
  <si>
    <t>https://www.dipres.gob.cl/597/articles-163112_informe_final.pdf</t>
  </si>
  <si>
    <t>https://www.dipres.gob.cl/597/articles-163112_seguimiento_compromisos.pdf</t>
  </si>
  <si>
    <t>https://www.dipres.gob.cl/597/articles-163110_r_ejecutivo_institucional.pdf</t>
  </si>
  <si>
    <t>https://www.dipres.gob.cl/597/articles-163110_informe_final.pdf</t>
  </si>
  <si>
    <t>https://www.dipres.gob.cl/597/articles-163110_seguimiento_compromisos.pdf</t>
  </si>
  <si>
    <t>Sustentabilidad;Riego;Eficiencia del agua</t>
  </si>
  <si>
    <t>Riego;Eficiencia del agua</t>
  </si>
  <si>
    <t>Establecimientos educacionales;Familias Vulnerables</t>
  </si>
  <si>
    <t>Becas Tecnología;Disminución brecha digital;Fomentar el acceso;Uso de recursos tecnológicos</t>
  </si>
  <si>
    <t>Calidad de vida;Protección social</t>
  </si>
  <si>
    <t>Familias vulnerables;Protección social;Establecimientos educacionales</t>
  </si>
  <si>
    <t>brindar acceso y habilitación en el uso de las TICs</t>
  </si>
  <si>
    <t>El programa se vincula con los municipios para la implementación local, debido a que la gran mayoría de las bibliotecas públicas son de dependencia municipal</t>
  </si>
  <si>
    <t>Contribuir a la inclusión digital de la población con dificultades de conectividad por factores económicos y/o por aislamiento territoria</t>
  </si>
  <si>
    <t>Usuarios/as del Sistema Nacional de Bibliotecas Públicas con dificultades de conectividad por factores socioeconómicos y/o por aislamiento territorial, gratuitamente acceden a internet y adquieren competencias digitales y de creación de contenido digital.</t>
  </si>
  <si>
    <t>https://www.dipres.gob.cl/597/articles-149524_r_ejecutivo_institucional.pdf</t>
  </si>
  <si>
    <t>https://www.dipres.gob.cl/597/articles-149524_informe_final.pdf</t>
  </si>
  <si>
    <t>https://www.dipres.gob.cl/597/articles-149524_seguimiento_compromisos.pdf</t>
  </si>
  <si>
    <t>Subsidiar proyectos de I+D que comprometan resultados científicos y tecnológicos relevantes, que tengan un alto potencial de impacto económico y social para Chile y una orientación hacia la innovación.</t>
  </si>
  <si>
    <t>concursos, a universidades u otras instituciones de investigación, las que también aportan recursos (incrementales o no incrementales) para su ejecución</t>
  </si>
  <si>
    <t>Contribuir al aumento de la competitividad de la economía nacional y al mejoramiento de la calidad de vida de los chilenos y chilenas</t>
  </si>
  <si>
    <t>Incrementar y mejorar la calidad de la investigación precompetitiva y/o de interés público , orientada a la innovación realizada por instituciones asociadas con empresas u otras entidades</t>
  </si>
  <si>
    <t>https://www.dipres.gob.cl/597/articles-149525_r_ejecutivo_institucional.pdf</t>
  </si>
  <si>
    <t>https://www.dipres.gob.cl/597/articles-149525_informe_final.pdf</t>
  </si>
  <si>
    <t>https://www.dipres.gob.cl/597/articles-149525_seguimiento_compromisos.pdf</t>
  </si>
  <si>
    <t>asegurar que la población del país culmine los 12 años de escolaridad obligatoria</t>
  </si>
  <si>
    <t>Contribuir a que los niños, niñas y jóvenes prosigan los estudios y alcancen los 12 años de educación obligatoria garantizada por la Constitución Política del Estado de Chile.</t>
  </si>
  <si>
    <t>Niños, niñas y jóvenes en situación o en riesgo de exclusión educativa, superan barreras pedagógicas, psicosociales y psicopedagógicas a la prosecución de sus trayectorias educativas.</t>
  </si>
  <si>
    <t>Instituciones educativas acceden a financiamiento para ejecutar proyectos para retención escolar</t>
  </si>
  <si>
    <t>Instituciones educativas acceden a financiamiento para ejecutar proyectos para reinserción educativa</t>
  </si>
  <si>
    <t>https://www.dipres.gob.cl/597/articles-149526_r_ejecutivo_institucional.pdf</t>
  </si>
  <si>
    <t>https://www.dipres.gob.cl/597/articles-149526_informe_final.pdf</t>
  </si>
  <si>
    <t>https://www.dipres.gob.cl/597/articles-149526_seguimiento_compromisos.pdf</t>
  </si>
  <si>
    <t>Contribuir al ejercicio del derecho a la educación a lo largo de la vida6 de las personas jóvenes y adultas que requieran iniciar y/o continuar su trayectoria educativa, para posibilitar su desarrollo integral y mejorar su inserción social y laboral</t>
  </si>
  <si>
    <t>Personas jóvenes y adultas que se encuentran fuera del sistema escolar, inician, continúan y/o completan sus estudios para completar su proceso de alfabetización, su educación básica y/o su educación media.</t>
  </si>
  <si>
    <t>https://www.dipres.gob.cl/597/articles-149527_r_ejecutivo_institucional.pdf</t>
  </si>
  <si>
    <t>https://www.dipres.gob.cl/597/articles-149527_informe_final.pdf</t>
  </si>
  <si>
    <t>https://www.dipres.gob.cl/597/articles-149527_seguimiento_compromisos.pdf</t>
  </si>
  <si>
    <t>Posibilitar el acceso a soluciones habitacionales de calidad</t>
  </si>
  <si>
    <t>Personas con subsidios habitacionales MINVU1 pertenecientes a los quintiles 1 y 2, con crédito hipotecario al día, logran el pago completo de su deuda.</t>
  </si>
  <si>
    <t>Entregar una subvención a los deudores beneficiarios de programas habitacionales MINVU</t>
  </si>
  <si>
    <t>https://www.dipres.gob.cl/597/articles-149529_r_ejecutivo_institucional.pdf</t>
  </si>
  <si>
    <t>https://www.dipres.gob.cl/597/articles-149529_informe_final.pdf</t>
  </si>
  <si>
    <t>https://www.dipres.gob.cl/597/articles-149529_seguimiento_compromisos.pdf</t>
  </si>
  <si>
    <t>Promover el ejercicio de sus derechos y 
participación activa en redes</t>
  </si>
  <si>
    <t>Mejorar las condiciones de vida mediante el acceso a prestaciones sociales e integración a la red comunitaria de promoción y protección social</t>
  </si>
  <si>
    <t>Promover su  autonomía y participación social</t>
  </si>
  <si>
    <t>Transferencias monetarias</t>
  </si>
  <si>
    <t>https://www.dipres.gob.cl/597/articles-187243_r_ejecutivo_institucional.pdf</t>
  </si>
  <si>
    <t>https://www.dipres.gob.cl/597/articles-187243_informe_final.pdf</t>
  </si>
  <si>
    <t>https://www.dipres.gob.cl/597/articles-187243_seguimiento_compromisos.pdf</t>
  </si>
  <si>
    <t>mejorar la organización de la comunidad y la calidad de los bienes comunes en Condominios Sociales</t>
  </si>
  <si>
    <t>Otorgamiento de subsidios para la ejecución de proyectos de intervención física y la conformación de los órganos de administración</t>
  </si>
  <si>
    <t>Reparación, mejoramiento y/o normalización de bienes comunes edificados en Condominios Sociales, otorgándose para ello subsidios del Título II del DS 255</t>
  </si>
  <si>
    <t>Reparación y/o mejoramiento de áreas comunes y equipamiento en Condominios Sociales</t>
  </si>
  <si>
    <t xml:space="preserve"> Servicios de Asistencia Técnica para formalizar los condominios sociales</t>
  </si>
  <si>
    <t>https://www.dipres.gob.cl/597/articles-149531_r_ejecutivo_institucional.pdf</t>
  </si>
  <si>
    <t>https://www.dipres.gob.cl/597/articles-149531_informe_final.pdf</t>
  </si>
  <si>
    <t>https://www.dipres.gob.cl/597/articles-149531_seguimiento_compromisos.pdf</t>
  </si>
  <si>
    <t>Financiamiento de estudios de postgrado</t>
  </si>
  <si>
    <t>Aumentar el capital humano específico en el país</t>
  </si>
  <si>
    <t>Generar profesionales especializados con título de postgrados vía el desarrollo del mercado de créditos para el financiamiento</t>
  </si>
  <si>
    <t>https://www.dipres.gob.cl/597/articles-149534_r_ejecutivo_institucional.pdf</t>
  </si>
  <si>
    <t>https://www.dipres.gob.cl/597/articles-149534_informe_final.pdf</t>
  </si>
  <si>
    <t>https://www.dipres.gob.cl/597/articles-149534_seguimiento_compromisos.pdf</t>
  </si>
  <si>
    <t>Facilitar el acceso al financiamiento a las empresas más pequeñas del segmento de las Micro, Pequeñas y Medianas Empresas (</t>
  </si>
  <si>
    <t>Resolver un problema de alta relevancia en Chile, referido a las  inadecuadas condiciones de tasa y plazo que obtienen las empresas de ese segmento que acceden al crédito en el sistema bancario</t>
  </si>
  <si>
    <t>fortalecer a Intermediarios Financieros no Bancarios con la expectativa de que ellos expandan sustancialmente su cobertura entre
las MiPyMEs y establezcan líneas de Crédito</t>
  </si>
  <si>
    <t>Facilitar el cumplimiento oportuno de las obligaciones de una IGR frente a una Institución Financiera formal, referidas al pago de una fianza asociada a un crédito de una MiPyME</t>
  </si>
  <si>
    <t>https://www.dipres.gob.cl/597/articles-189320_r_ejecutivo_institucional.pdf</t>
  </si>
  <si>
    <t>https://www.dipres.gob.cl/597/articles-189320_informe_final.pdf</t>
  </si>
  <si>
    <t>Elaborar los planes, programas y proyectos para la promoción y desarrollo del turismo</t>
  </si>
  <si>
    <t>Ejecutar acciones de promoción y difusión de los productos y destinos turísticos del país</t>
  </si>
  <si>
    <t>Contribuir al desarrollo del sector turístico, a través del aumento de turistas extranjeros que visitan destinos turísticos de Chile</t>
  </si>
  <si>
    <t>Aumento del conocimiento sobre los destinos turísticos de Chile y las empresas turísticas integradas a dichos destinos, por parte de consumidores potenciales finales, operadores turísticos y periodistas de mercados extranjeros identificados por el programa</t>
  </si>
  <si>
    <t>https://www.dipres.gob.cl/597/articles-149517_r_ejecutivo_institucional.pdf</t>
  </si>
  <si>
    <t>https://www.dipres.gob.cl/597/articles-149517_informe_final.pdf</t>
  </si>
  <si>
    <t>https://www.dipres.gob.cl/597/articles-149517_seguimiento_compromisos.pdf</t>
  </si>
  <si>
    <t>Contribuir al desarrollo sustentable del sector pesca artesanal</t>
  </si>
  <si>
    <t>Modernizar  gestión productiva y comercial, para que puedan enfrentar de manera sustentable su desarrollo productivo.</t>
  </si>
  <si>
    <t xml:space="preserve"> Financiamiento de proyectos destinados a la modernización de la Pesca Artesanal</t>
  </si>
  <si>
    <t>Financiar proyectos destinados a desarrollar actividades de acuicultura de pequeña escala, en concesiones o autorizaciones de acuicultura y en áreas de manejo</t>
  </si>
  <si>
    <t xml:space="preserve"> Financiar proyectos destinados a diversificar la actividad, tanto en el plano extractivo, de prestación de servicios (como el turismo y la gastronomía), o para la identificación y desarrollo de nuevas oportunidades de negocio</t>
  </si>
  <si>
    <t>https://www.dipres.gob.cl/597/articles-149520_r_ejecutivo_institucional.pdf</t>
  </si>
  <si>
    <t>https://www.dipres.gob.cl/597/articles-149520_informe_final.pdf</t>
  </si>
  <si>
    <t>https://www.dipres.gob.cl/597/articles-149520_seguimiento_compromisos.pdf</t>
  </si>
  <si>
    <t>https://www.dipres.gob.cl/597/articles-163117_r_ejecutivo_institucional.pdf</t>
  </si>
  <si>
    <t>https://www.dipres.gob.cl/597/articles-163117_informe_final.pdf</t>
  </si>
  <si>
    <t>https://www.dipres.gob.cl/597/articles-163117_seguimiento_compromisos.pdf</t>
  </si>
  <si>
    <t>la continuación del  “Programa Preventivo en Salud Bucal en Población Preescolar en APS” que fue implementado el año 2012</t>
  </si>
  <si>
    <t>Contribuir al Plan de Salud Oral manteniendo y mejorando la salud  bucal  de  la  población  parvularia vulnerable”</t>
  </si>
  <si>
    <t>Matriculados  en  jardines  infantiles de  los  niveles  Pre  Kinder y Kinder de escuelas municipales y particulares subvencionadas</t>
  </si>
  <si>
    <t>Fomento del autocuidado en salud bucal</t>
  </si>
  <si>
    <t>Diagnóstico de la salud bucal</t>
  </si>
  <si>
    <t>Prevención específica individual</t>
  </si>
  <si>
    <t>https://www.dipres.gob.cl/597/articles-189331_r_ejecutivo_institucional.pdf</t>
  </si>
  <si>
    <t>https://www.dipres.gob.cl/597/articles-189331_informe_final.pdf</t>
  </si>
  <si>
    <t>caracterización socio económica del Registro Social de Hogares</t>
  </si>
  <si>
    <t>solución habitacional transitoria, a familias pertenecientes hasta el 70% más vulnerable de la población nacional</t>
  </si>
  <si>
    <t>desembolsos mensuales destinados a pagar una renta de arrendamiento</t>
  </si>
  <si>
    <t>deterioro de las condiciones de habitación en familias Jóvenes vulnerables, allegadas o arrendatarias pertenecientes hasta el III quintil de ingresos del hogar</t>
  </si>
  <si>
    <t>considera de manera especial a los adultos mayores, se elimina el límite de edad</t>
  </si>
  <si>
    <t>Nombre Compacto</t>
  </si>
  <si>
    <t>Fomento Audiovisual</t>
  </si>
  <si>
    <t>Desarrollo Indígena</t>
  </si>
  <si>
    <t>Chile Crece</t>
  </si>
  <si>
    <t>Desarrollo Empresarial</t>
  </si>
  <si>
    <t>Bibliotecas CRA</t>
  </si>
  <si>
    <t>PRODESAL</t>
  </si>
  <si>
    <t>Fomento del Libro y la Lectura</t>
  </si>
  <si>
    <t>Regional / Local</t>
  </si>
  <si>
    <t>Desarrollo Científico y Tecnológico</t>
  </si>
  <si>
    <t>Fomento de la Pesca Artesanal</t>
  </si>
  <si>
    <t>https://www.dipres.gob.cl/597/articles-189322_r_ejecutivo_institucional.pdf</t>
  </si>
  <si>
    <t>https://www.dipres.gob.cl/597/articles-189322_informe_final.pdf</t>
  </si>
  <si>
    <t>https://www.dipres.gob.cl/597/articles-189322_informe_complementario.pdf</t>
  </si>
  <si>
    <t>Índice  de  Vulnerabilidad  Escolar</t>
  </si>
  <si>
    <t>Sistema Único de Admisión</t>
  </si>
  <si>
    <t>acceso a la educación superior</t>
  </si>
  <si>
    <t>rendimiento escolar</t>
  </si>
  <si>
    <t>desarrollo en capital humano y expectativas laborales</t>
  </si>
  <si>
    <t>https://www.dipres.gob.cl/597/articles-163122_r_ejecutivo_institucional.pdf</t>
  </si>
  <si>
    <t>https://www.dipres.gob.cl/597/articles-163122_informe_final.pdf</t>
  </si>
  <si>
    <t>https://www.dipres.gob.cl/597/articles-163121_r_ejecutivo_institucional.pdf</t>
  </si>
  <si>
    <t>https://www.dipres.gob.cl/597/articles-163121_informe_final.pdf</t>
  </si>
  <si>
    <t>https://www.dipres.gob.cl/597/articles-163121_seguimiento_compromisos.pdf</t>
  </si>
  <si>
    <t>Formación de Capital Humano Avanzado (PFCHA) para el desarrollo de la ciencia, tecnología e innovación  del  país</t>
  </si>
  <si>
    <t>profesionales con capacidades para el desarrollo de políticas públicas</t>
  </si>
  <si>
    <t>Subsidiar  la  capacidad  de  los  ecosistemas  técnicos  y  científicos  locales  (académicos, regionales y empresariales) para mantenerse al día en los desarrollos de frontera de las diferentes disciplinas científicas y técnicas de la actualidad</t>
  </si>
  <si>
    <t>Subsidiar   las   instituciones   con   potencial   para   instaurar,   desarrollar   y   mantener  políticas  de  desarrollo  de  recursos  humanos  en  instituciones  educativas  de punta exterior</t>
  </si>
  <si>
    <t>Subsidiar  el  acceso  de  individuos  a  programas  educativos  de  la  mejor  calidad a nivel global</t>
  </si>
  <si>
    <t>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t>
  </si>
  <si>
    <t>https://www.dipres.gob.cl/597/articles-163120_r_ejecutivo_institucional.pdf</t>
  </si>
  <si>
    <t>https://www.dipres.gob.cl/597/articles-163120_informe_final.pdf</t>
  </si>
  <si>
    <t>https://www.dipres.gob.cl/597/articles-163120_seguimiento_compromisos.pdf</t>
  </si>
  <si>
    <t>Jardín  Familiar</t>
  </si>
  <si>
    <t>Jardín  Laboral</t>
  </si>
  <si>
    <t>Jardín en Comunidades Indígenas</t>
  </si>
  <si>
    <t>Programa de Mejoramiento de Atención a la Infancia (PMI)</t>
  </si>
  <si>
    <t>Centros Educativos Culturales de la Infancia (CECI)</t>
  </si>
  <si>
    <t>Programa de Atención al Párvulo</t>
  </si>
  <si>
    <t>http://www.dipres.gob.cl/597/articles-163119_r_ejecutivo_institucional.pdf</t>
  </si>
  <si>
    <t>http://www.dipres.gob.cl/597/articles-163119_informe_final.pdf</t>
  </si>
  <si>
    <t>http://www.dipres.gob.cl/597/articles-163119_seguimiento_compromisos.pdf</t>
  </si>
  <si>
    <t>es administrado desde el año  2006  por  la  Junta  Nacional  de  Auxilio  Escolar  y  Becas  (JUNAEB),  dependiente  del  Ministerio de Educación</t>
  </si>
  <si>
    <t>igualdad  de  oportunidades, el desarrollo humano y la movilidad social</t>
  </si>
  <si>
    <t>vulnerabilidad  socioeconómica</t>
  </si>
  <si>
    <t>excelencia académica</t>
  </si>
  <si>
    <t>abandono  de  los  estudios  o  la  disminución  del  rendimiento  escolar  de  estudiantes  de  educación media y superior con buen rendimiento académico</t>
  </si>
  <si>
    <t>transferencia  monetaria  de  libre  disposición</t>
  </si>
  <si>
    <t>http://www.dipres.gob.cl/597/articles-163123_r_ejecutivo_institucional.pdf</t>
  </si>
  <si>
    <t>http://www.dipres.gob.cl/597/articles-163123_informe_final.pdf</t>
  </si>
  <si>
    <t>http://www.dipres.gob.cl/597/articles-163123_seguimiento_compromisos.pdf</t>
  </si>
  <si>
    <t>Contribuir  al  mejoramiento  de  la  calidad  de  vida</t>
  </si>
  <si>
    <t>barrios  que presentan  problemas  de  deterioro  urbano y  habitacional,  segregación  y  vulnerabilidad social</t>
  </si>
  <si>
    <t>mejoramiento  y/o dotación  de  espacios  públicos</t>
  </si>
  <si>
    <t>equipamiento  comunitario  y  entornos  barriales</t>
  </si>
  <si>
    <t>fortalecimiento de la participación de vecinos y vecinas</t>
  </si>
  <si>
    <t>se  suman tres ejes  transversalesque  deben  reflejarse  en  los  productos, sociales  y  físico-espaciales: i)Identidad  y  Patrimonio  Cultural  y  Natural; ii) Medio Ambiente; y iii) Seguridad. Para ello, seestablecenvinculaciones, a través de convenios o articulación entre programas</t>
  </si>
  <si>
    <t>Subsidio Habitacional</t>
  </si>
  <si>
    <t>Deporte</t>
  </si>
  <si>
    <t>http://www.dipres.gob.cl/597/articles-163132_r_ejecutivo_institucional.pdf</t>
  </si>
  <si>
    <t>http://www.dipres.gob.cl/597/articles-163132_informe_final.pdf</t>
  </si>
  <si>
    <t>http://www.dipres.gob.cl/597/articles-163132_seguimiento_compromisos.pdf</t>
  </si>
  <si>
    <t>Mejorar  la  calidad  de  vida  de  las  personas  con  dependencia  severa,  sus  familias  y  cuidadores</t>
  </si>
  <si>
    <t>Modelo  de  Atención Integral en Salud Familiar y Comunitario</t>
  </si>
  <si>
    <t xml:space="preserve">En su operación  interviene  desde  enero  de  2016  el  Ministerio  de  Desarrollo  Social </t>
  </si>
  <si>
    <t>coordinación  y  activación  de  la  red  de  apoyo  local</t>
  </si>
  <si>
    <t>Derechos de las Personas con Discapacidad</t>
  </si>
  <si>
    <t>Igualdad  de  Oportunidades  e  Inclusión  Social  de  Personas  con  Discapacidad</t>
  </si>
  <si>
    <t>http://www.dipres.gob.cl/597/articles-163131_r_ejecutivo_institucional.pdf</t>
  </si>
  <si>
    <t>http://www.dipres.gob.cl/597/articles-163131_informe_final.pdf</t>
  </si>
  <si>
    <t>La violencia, el delito y la inseguridad tienen un origen social, pero se expresan de manera diversa en el territorio</t>
  </si>
  <si>
    <t>entregar herramientas y recursos para que las comunas creen una estrategia anual de seguridad, que dé respuesta a los problemas de cada territorio, mediante la focalización, la participación ciudadana y la coordinación de los servicios públicos, las policías y los municipios</t>
  </si>
  <si>
    <t>Municipios  incrementan  sus  capacidades  técnicas  y  de  gestión para abordar los factores de riesgo asociados a delitos, violenciay percepción de inseguridad</t>
  </si>
  <si>
    <t>Diagnóstico Comunal de Seguridad o el PlanComunal de Seguridad</t>
  </si>
  <si>
    <t>en paralelo, se implementa un programa de capacitación y asistencia técnica a cargodel Departamento de Apoyo a la Gestión Municipal</t>
  </si>
  <si>
    <t>índice de riesgo   socio-económico</t>
  </si>
  <si>
    <t>Región 05</t>
  </si>
  <si>
    <t>Región 08</t>
  </si>
  <si>
    <t>Región 04</t>
  </si>
  <si>
    <t>https://www.dipres.gob.cl/597/articles-163130_r_ejecutivo_institucional.pdf</t>
  </si>
  <si>
    <t>https://www.dipres.gob.cl/597/articles-163130_informe_final.pdf</t>
  </si>
  <si>
    <t>https://www.dipres.gob.cl/597/articles-163130_seguimiento_compromisos.pdf</t>
  </si>
  <si>
    <t>reformulado en 2015</t>
  </si>
  <si>
    <t>Sensibilización y prevención comunitaria en violencia contra las mujeres</t>
  </si>
  <si>
    <t>Capacitación  para  la  prevención  de  violencia  contra  las  mujeres</t>
  </si>
  <si>
    <t>Coordinación para la prevención en violencia  contra  las  mujeres</t>
  </si>
  <si>
    <t>construcción  cultural  de  relaciones  desiguales  de  género  entre  hombres  y  mujeres</t>
  </si>
  <si>
    <t>transformar los estereotipos de género e incorporar una visión y comportamiento contrario al ejercicio de la violencia</t>
  </si>
  <si>
    <t>Mejorar las condiciones de las Mujeres que viven o han vivido violencia</t>
  </si>
  <si>
    <t>centros de reeducación para  Hombres  que  Ejercen  Violencia  de  Pareja</t>
  </si>
  <si>
    <t>Casa de Acogida para Mujeres Vulneradas por la Trata de Personas y Migrantes en Situación  de  Explotación</t>
  </si>
  <si>
    <t>Centros  de  Atención  Reparatoria  a  Mujeres  Víctimas  de  Agresiones  Sexuales</t>
  </si>
  <si>
    <t>orientación,  contención  y  atención  a  mujeres  que  solicitan  ayuda  porque  están  siendo  víctimas  de  violencias</t>
  </si>
  <si>
    <t>https://www.dipres.gob.cl/597/articles-163129_r_ejecutivo_institucional.pdf</t>
  </si>
  <si>
    <t>https://www.dipres.gob.cl/597/articles-163129_informe_final.pdf</t>
  </si>
  <si>
    <t>https://www.dipres.gob.cl/597/articles-163129_seguimiento_compromisos.pdf</t>
  </si>
  <si>
    <t>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t>
  </si>
  <si>
    <t>acciones que mejoren su calidad de vida</t>
  </si>
  <si>
    <t>permanencia, acceso y equidad en  la  educación  de  los  y  las  estudiantes  de  Educación  Parvularia  y  Básica  de  escuelas municipales  y  particulares  subvencionadas vulnerables  matriculados  en  establecimientos  municipales y particulares subvencionados</t>
  </si>
  <si>
    <t>Estudiantes  reciben  atención  odontológica  integral  a  través  del  Modelo de Atención Integral</t>
  </si>
  <si>
    <t>Estudiantes beneficiarios del Programa de Alimentación Escolar (PAE)  de  establecimientos  educacionales  subvencionados  de  comunas  rurales  que  no  cuentan  con  agua  potable  fluorurada  reciben  leche  fluorurada</t>
  </si>
  <si>
    <t>las   caries constituyen   una   enfermedad crónica que aparece en edades tempranas, constituyéndose en un problema de  salud  pública  que  tiene  impactos  en  calidad  de  vida  y  salud  de  las  personas</t>
  </si>
  <si>
    <t>https://www.dipres.gob.cl/597/articles-163118_r_ejecutivo_institucional.pdf</t>
  </si>
  <si>
    <t>https://www.dipres.gob.cl/597/articles-163118_informe_final.pdf</t>
  </si>
  <si>
    <t>https://www.dipres.gob.cl/597/articles-163118_seguimiento_compromisos.pdf</t>
  </si>
  <si>
    <t>https://www.dipres.gob.cl/597/articles-163116_r_ejecutivo_institucional.pdf</t>
  </si>
  <si>
    <t>https://www.dipres.gob.cl/597/articles-163116_informe_final.pdf</t>
  </si>
  <si>
    <t>https://www.dipres.gob.cl/597/articles-163116_seguimiento_compromisos.pdf</t>
  </si>
  <si>
    <t>Aumentar   la   cobertura   de   la   atención   odontológica a mujeres mayores de 15 años de grupos más vulnerables a través de la red de Atención Primaria de Salud (APS)</t>
  </si>
  <si>
    <t>percepción  de  necesidad  de  prótesis</t>
  </si>
  <si>
    <t>La salud bucal afecta su calidad de vida e incide en su funcionamiento social y desempeño público; además de afectar la estética facial,   la   alimentación   y   comunicación   oral,   generando   impactos   negativos   en   las   relaciones interpersonales, la autoestima y calidad de vida</t>
  </si>
  <si>
    <t>canasta  integral  de  servicios</t>
  </si>
  <si>
    <t>la enfermedad crónica bucal, es de un daño creciente en el tiempo si no hay tratamientos periódicos y, por tanto, a más edad de la paciente, más será el daño a reparar</t>
  </si>
  <si>
    <t>https://www.dipres.gob.cl/597/articles-163115_r_ejecutivo_institucional.pdf</t>
  </si>
  <si>
    <t>https://www.dipres.gob.cl/597/articles-163115_informe_final.pdf</t>
  </si>
  <si>
    <t>https://www.dipres.gob.cl/597/articles-163115_seguimiento_compromisos.pdf</t>
  </si>
  <si>
    <t>Resolución de Especialidades Odontológicas en APS</t>
  </si>
  <si>
    <t>Acercamiento de la atención odontológica a poblaciones de difícil acceso</t>
  </si>
  <si>
    <t>Atención de morbilidad odontológica en extensión horaria</t>
  </si>
  <si>
    <t>Atención  odontológica  integral  de  los  alumnos  de  4º  año  medio</t>
  </si>
  <si>
    <t>Promoción, prevención y recuperación de la salud bucal</t>
  </si>
  <si>
    <t>https://www.dipres.gob.cl/597/articles-163128_r_ejecutivo_institucional.pdf</t>
  </si>
  <si>
    <t>https://www.dipres.gob.cl/597/articles-163128_informe_final.pdf</t>
  </si>
  <si>
    <t>https://www.dipres.gob.cl/597/articles-163128_seguimiento_compromisos.pdf</t>
  </si>
  <si>
    <t>Fomentar  iniciativas  que  desarrollen  proyectos    de    innovación    en    las    empresas    desde    fases    tempranas    hasta la validación y comercialización, con   orientación   hacia   el   mercado   nacional y/o internacional</t>
  </si>
  <si>
    <t>Concretar iniciativas que promuevan la generación y fortalecimiento de capacidades de innovación en las empresas</t>
  </si>
  <si>
    <t>Entrega de servicios de difusión y transferencia de conocimientos y prácticas Tecnológico -productivas a PYMES a través de Centros de Extensionismo</t>
  </si>
  <si>
    <t>Provisión de Bienes Públicos para la Competitividad</t>
  </si>
  <si>
    <t>población  potencial  como  las  empresas  pequeñas,  medianas  y  grandes  del  país  que  hacen  innovación  tecnológica  (de  producto,  servicio,  o  proceso),  junto  con  lasempresas que desearían innovar pero no lo hacen por obstáculos financieros</t>
  </si>
  <si>
    <t>https://www.dipres.gob.cl/597/articles-163127_r_ejecutivo_institucional.pdf</t>
  </si>
  <si>
    <t>https://www.dipres.gob.cl/597/articles-163127_informe_final.pdf</t>
  </si>
  <si>
    <t>Innovación Empresarial</t>
  </si>
  <si>
    <t>https://www.dipres.gob.cl/597/articles-163126_r_ejecutivo_institucional.pdf</t>
  </si>
  <si>
    <t>https://www.dipres.gob.cl/597/articles-163126_informe_final.pdf</t>
  </si>
  <si>
    <t>https://www.dipres.gob.cl/597/articles-163126_seguimiento_compromisos.pdf</t>
  </si>
  <si>
    <t>Servicios básicos (acceso a agua, eliminación de excretas y sistemas eléctricos)</t>
  </si>
  <si>
    <t>Chile Solidario y Seguridades y Oportunidades</t>
  </si>
  <si>
    <t>Calidad  de  la  vivienda  (recintos,  instalación,  reparación  o  reposición,  accesibilidad dentro de la vivienda)</t>
  </si>
  <si>
    <t>Equipamiento  para  actividades  domésticas  (cama,  cocina,  calefacción,  mobiliario –comer, guardar, estudiar)</t>
  </si>
  <si>
    <t>Entorno  de  la  vivienda  (entorno  saludable,  acceso  a  la  vivienda  y  áreas  verdes  y esparcimiento)</t>
  </si>
  <si>
    <t>https://www.dipres.gob.cl/597/articles-163125_r_ejecutivo_institucional.pdf</t>
  </si>
  <si>
    <t>https://www.dipres.gob.cl/597/articles-163125_informe_final.pdf</t>
  </si>
  <si>
    <t>https://www.dipres.gob.cl/597/articles-163125_seguimiento_compromisos.pdf</t>
  </si>
  <si>
    <t>Personas vulnerables entre 16 y 65 años habilitadas en oficios para su inserción laboral</t>
  </si>
  <si>
    <t>Registro  Especial  Salida  Laboral  Dependiente</t>
  </si>
  <si>
    <t>Personas vulnerables entre 16 y 65 años habilitadas en oficios para su inserción laboral dependiente en sectores productivos priorizados</t>
  </si>
  <si>
    <t>aprendizaje  del  oficio  (Competencias  Técnicas),</t>
  </si>
  <si>
    <t>aprendizaje  del  oficio  (Competencias  Técnicas)</t>
  </si>
  <si>
    <t>https://www.dipres.gob.cl/597/articles-163124_r_ejecutivo_institucional.pdf</t>
  </si>
  <si>
    <t>https://www.dipres.gob.cl/597/articles-163124_informe_final.pdf</t>
  </si>
  <si>
    <t>https://www.dipres.gob.cl/597/articles-163124_seguimiento_compromisos.pdf</t>
  </si>
  <si>
    <t>Incentivos a la Integración Social</t>
  </si>
  <si>
    <t>Incentivo a la Captación de Subsidios no aplicados</t>
  </si>
  <si>
    <t>oferta  habitacional</t>
  </si>
  <si>
    <t>Incentivo a laReactivación económica</t>
  </si>
  <si>
    <t>Préstamos de Enlace para el financiamiento de capital de trabajo de las Entidades Desarrolladoras</t>
  </si>
  <si>
    <t>Plan Especial de Desarrollo de Zonas Extremas (PEDZE)</t>
  </si>
  <si>
    <t>Mejoramiento Urbano y Equipamiento Comunal (PMU)</t>
  </si>
  <si>
    <t>Red Local de Apoyos y Cuidados (RLAC)</t>
  </si>
  <si>
    <t>Beca Arancel Vocación de Profesor</t>
  </si>
  <si>
    <t>Subsecretaría de Educación Superior</t>
  </si>
  <si>
    <t>Programa Infraestructura para la Educación Pública del Siglo XXI (Ex Recuperación y Renovación del Atractivo de la Infraestructura y del Equipamiento de la Educación Pública)</t>
  </si>
  <si>
    <t>Dirección de Educación Pública</t>
  </si>
  <si>
    <t>Útiles Escolares</t>
  </si>
  <si>
    <t>Más Adultos Mayores Autovalentes (MASAMAV)</t>
  </si>
  <si>
    <t>Jardines Infantiles y Salas Cuna Integra, Modalidad Convencional</t>
  </si>
  <si>
    <t>Subsecretaría de Educación Parvularia</t>
  </si>
  <si>
    <t>Subsecretaría de Derechos Humanos</t>
  </si>
  <si>
    <t>Programa de Alimentación Complementaria del Adulto Mayor (PACAM) </t>
  </si>
  <si>
    <t>Residencias y Hogares Protegidos</t>
  </si>
  <si>
    <t>Subsidio Nacional al Transporte Público</t>
  </si>
  <si>
    <t>Leasing Habitacional</t>
  </si>
  <si>
    <t>Fondo Solidario de Elección de Vivienda DS49 (FSEV)</t>
  </si>
  <si>
    <t>Fondo de Innovación para la Competitividad Regional (FIC-R)</t>
  </si>
  <si>
    <t>Gobiernos Regionales</t>
  </si>
  <si>
    <t>Fuente</t>
  </si>
  <si>
    <t>Descripción</t>
  </si>
  <si>
    <t>Evaluación de Programas Gubernamentales</t>
  </si>
  <si>
    <t>Evaluación Focalizada de Ámbito</t>
  </si>
  <si>
    <t>Evaluación de Impacto</t>
  </si>
  <si>
    <t>Evaluación del Gasto Institucional</t>
  </si>
  <si>
    <t>Evaluación de Programas Nuevos</t>
  </si>
  <si>
    <t>https://www.dipres.gob.cl/597/articles-205716_r_ejecutivo_institucional.pdf</t>
  </si>
  <si>
    <t>https://www.dipres.gob.cl/597/articles-205716_informe_final.pdf</t>
  </si>
  <si>
    <t>Mejoramiento Urbano</t>
  </si>
  <si>
    <t>Alimentación Complementaria</t>
  </si>
  <si>
    <t>Subsidio Nacional al Transporte</t>
  </si>
  <si>
    <t>Subsidio Fondo Solidario Vivienda</t>
  </si>
  <si>
    <t>Fondo de Innovación para la Competitividad</t>
  </si>
  <si>
    <t>déficits en inversión, en infraestructura pública</t>
  </si>
  <si>
    <t>dificultades de acceso a mercados de empleo y servicios debido a la baja rentabilidad social de este tipo de proyectos en la zona</t>
  </si>
  <si>
    <t>integra  las  siguientes  regiones  y territorios considerados zonas extremas: Arica y Parinacota, Los Lagos (sólo Provincia de Palena y Comuna de Cochamó), Aysén del General Carlos Ibáñez del Campo, Magallanes y Antártica Chilena</t>
  </si>
  <si>
    <t>la clasificación de zona extrema no está claramente establecida, así como tampoco está definido si la condición de zona extrema responde a una situación cambiable en el tiempo o permanente</t>
  </si>
  <si>
    <t>proyectos priorizados según criterios utilizados por cada región</t>
  </si>
  <si>
    <t>apoyo técnico y gestión estratégica de proyectos</t>
  </si>
  <si>
    <t>Ejes de Programas: i) Conectividad; ii) Infraestructura Pública;  iii) Asentamientos Humanos;  iv) Productividad</t>
  </si>
  <si>
    <t>adolescentes imputados por la Ley Nº 20.084 cumplan los requerimientos y condiciones</t>
  </si>
  <si>
    <t>Salidas Alternativas</t>
  </si>
  <si>
    <t>Jóvenes sancionados por Ley Nº 20.084, con procesos de responsabilización efectivamente desarrollados, mediante intervenciones socioeducativas que contribuyan a la plena integración social.</t>
  </si>
  <si>
    <t xml:space="preserve"> Lograr que los jóvenes imputados y condenados en Centros Privativos de Libertad ejerzan su derecho a la educación a través de una oferta educativa diferenciada y especializada que contribuya a la continuidad de trayectorias educativas.</t>
  </si>
  <si>
    <t>https://www.dipres.gob.cl/597/articles-149538_r_ejecutivo_institucional.pdf</t>
  </si>
  <si>
    <t>https://www.dipres.gob.cl/597/articles-149538_informe_final.pdf</t>
  </si>
  <si>
    <t>https://www.dipres.gob.cl/597/articles-149538_seguimiento_compromisos.pdf</t>
  </si>
  <si>
    <t>Contribuir a reducir los factores de riesgo de desarrollar diabetes y enfermedades cardiovasculares en la población</t>
  </si>
  <si>
    <t>Disminuir 3 de los factores de riesgo de desarrollar Diabetes Mellitus tipo 2 y enfermedades cardiovasculares en niños, niñas, adultos y mujeres post-parto de 2 a 64 años, beneficiarios de FONASA</t>
  </si>
  <si>
    <t>estrategia de doce meses de duración, con un enfoque nutricional y de actividad física, que busca entregar herramientas para la modificación de hábitos y el mejoramiento de la condición de salud de sus beneficiarios</t>
  </si>
  <si>
    <t>https://www.dipres.gob.cl/597/articles-149542_r_ejecutivo_institucional.pdf</t>
  </si>
  <si>
    <t>https://www.dipres.gob.cl/597/articles-149542_informe_final.pdf</t>
  </si>
  <si>
    <t>https://www.dipres.gob.cl/597/articles-149542_seguimiento_compromisos.pdf</t>
  </si>
  <si>
    <t>Contribuir al aumento de la tasa de participación femenina, de los sectores vulnerables, en el mercado laboral forma</t>
  </si>
  <si>
    <t>Mujeres en situación de vulnerabilidad1 entre 25 a 59 años han mejorado sus condiciones laborales</t>
  </si>
  <si>
    <t>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t>
  </si>
  <si>
    <t>Subsidio entregado a trabajadoras</t>
  </si>
  <si>
    <t>https://www.dipres.gob.cl/597/articles-149521_r_ejecutivo_institucional.pdf</t>
  </si>
  <si>
    <t>https://www.dipres.gob.cl/597/articles-149521_informe_final.pdf</t>
  </si>
  <si>
    <t>https://www.dipres.gob.cl/597/articles-149521_seguimiento_compromisos.pdf</t>
  </si>
  <si>
    <t>Promoción de oportunidades laborales para las personas pertenecientes a los sectores económicamente más vulnerables</t>
  </si>
  <si>
    <t>Otorgar una fuente laboral en aquellos lugares que hayan experimentado altos índices de desempleo a raíz de alguna contracción económica, o alguna contingencia, tales como ambientales y desastres naturales</t>
  </si>
  <si>
    <t>Financiamiento de obras en el ámbito local mediante proyectos intensivos en el uso de mano de obra, contratada al efecto y que presenten un claro beneficio comunitario</t>
  </si>
  <si>
    <t>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t>
  </si>
  <si>
    <t>https://www.dipres.gob.cl/597/articles-149522_r_ejecutivo_institucional.pdf</t>
  </si>
  <si>
    <t>https://www.dipres.gob.cl/597/articles-149522_informe_final.pdf</t>
  </si>
  <si>
    <t>https://www.dipres.gob.cl/597/articles-149522_seguimiento_compromisos.pdf</t>
  </si>
  <si>
    <t>Evaluar la modalidad de producción de los bienes y servicios entregados por el Programa de Recambio de Calefactores del Ministerio de Medio Ambiente</t>
  </si>
  <si>
    <t>mejorar la calidad del aire de ciudades contaminadas mediante el recambio de artefactos a leña en uso, que tienen altas tasas de emisión de partículas contaminantes y baja eficiencia en el uso de energía, por unos más eficientes y menos contaminantes</t>
  </si>
  <si>
    <t>Suministrar el calefactor nuevo, gestionan el copago asociado del beneficio y se encargan del proceso de instalación</t>
  </si>
  <si>
    <t>https://www.dipres.gob.cl/597/articles-187242_r_ejecutivo_institucional.pdf</t>
  </si>
  <si>
    <t>https://www.dipres.gob.cl/597/articles-187242_informe_final.pdf</t>
  </si>
  <si>
    <t>https://www.dipres.gob.cl/597/articles-187242_seguimiento_compromisos.pdf</t>
  </si>
  <si>
    <t>asegurar ingresos a nivel de autofinanciamiento a las empresas sanitarias</t>
  </si>
  <si>
    <t>Acceso permanente al consumo de los servicios de agua potable y alcantarillado a la población más carente desde el
punto de vista socioeconómico</t>
  </si>
  <si>
    <t>Contribuir a la igualdad en el acceso de agua potable de toda la población</t>
  </si>
  <si>
    <t>https://www.dipres.gob.cl/597/articles-163133_r_ejecutivo_institucional.pdf</t>
  </si>
  <si>
    <t>https://www.dipres.gob.cl/597/articles-163133_informe_final.pdf</t>
  </si>
  <si>
    <t>Contribuir a la generación de conocimiento científico y tecnológico para aportar a la competitividad del país</t>
  </si>
  <si>
    <t>Incrementar la calidad y cantidad del conocimiento de frontera de carácter científico y tecnológico, en el ámbito de las ciencias naturales y exactas y de las ciencias sociales y humanidades.</t>
  </si>
  <si>
    <t>Formación y fortalecimiento de centros de investigación de alto nivel, mediante concurso público, identificando tres componentes fundamentales.</t>
  </si>
  <si>
    <t xml:space="preserve">Realizar investigación de frontera intra y transdisciplinaria, a través de institutos científicos  y de núcleos científicos  y de generación de redes de colaboración activa con entidades que gocen de reconocimiento internacional </t>
  </si>
  <si>
    <t>Generar conocimiento original, para luego transferirlo a la sociedad, logrando de esta manera, disminuir las brechas existentes en nuestro país con el
consiguiente mejoramiento del bienestar de toda la población nacional.</t>
  </si>
  <si>
    <t>https://www.dipres.gob.cl/597/articles-141226_r_ejecutivo_institucional.pdf</t>
  </si>
  <si>
    <t>https://www.dipres.gob.cl/597/articles-141226_informe_final.pdf</t>
  </si>
  <si>
    <t>https://www.dipres.gob.cl/597/articles-141226_seguimiento_compromisos.pdf</t>
  </si>
  <si>
    <t>Atraer a estudiantes de alto rendimiento académico a las carreras de pedagogía y educación</t>
  </si>
  <si>
    <t>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t>
  </si>
  <si>
    <t>Elevar la calidad de la educación financiada con fondos públicos al contar con mejores profesores</t>
  </si>
  <si>
    <t>Atraer a estudiantes destacados a carreras y programas de formación en pedagogía y educación, para que una vez titulados se desempeñen en establecimientos con financiamiento público</t>
  </si>
  <si>
    <t>https://www.dipres.gob.cl/597/articles-141227_r_ejecutivo_institucional.pdf</t>
  </si>
  <si>
    <t>https://www.dipres.gob.cl/597/articles-141227_informe_final.pdf</t>
  </si>
  <si>
    <t>Contribuir a mejorar la calidad y la pertinencia de la EMTP que permitan a los estudiantes contar con las competencias exigidas en el mercado laboral y/o la continuidad de estudios</t>
  </si>
  <si>
    <t>Establecimientos EMTP incorporan el equipamiento de vanguardia, como recursos pedagógicos en los procesos de enseñanza aprendizaje, en cada una de las especialidades.</t>
  </si>
  <si>
    <t>Fondo concursable para financiamiento de equipamiento de vanguardia en especialidades de EMPT, para establecimientos municipales y particulares subvencionados</t>
  </si>
  <si>
    <t>https://www.dipres.gob.cl/597/articles-141228_r_ejecutivo_institucional.pdf</t>
  </si>
  <si>
    <t>https://www.dipres.gob.cl/597/articles-141228_informe_final.pdf</t>
  </si>
  <si>
    <t>Contribuir a la finalización del ciclo de educación de estudiantes en condiciones de vulnerabilidad de educación básica, media y superior</t>
  </si>
  <si>
    <t>Estudiantes en condiciones de vulnerabilidad de educación básica media y superior, que en su lugar de origen no cuentan con oferta educacional o ésta no responde a sus intereses, continúan sus estudios</t>
  </si>
  <si>
    <t>“Estudiantes en condiciones de vulnerabilidad de educación básica media y superior, que en su lugar de origen no cuentan con oferta educacional o ésta no responde a sus intereses, continúan sus estudios</t>
  </si>
  <si>
    <t>https://www.dipres.gob.cl/597/articles-139809_r_ejecutivo_institucional.pdf</t>
  </si>
  <si>
    <t>https://www.dipres.gob.cl/597/articles-141232_informe_final.pdf</t>
  </si>
  <si>
    <t>https://www.dipres.gob.cl/597/articles-141232_seguimiento_compromisos.pdf</t>
  </si>
  <si>
    <t>Contribuir al acceso a la justicia e igualdad ante la protección de la ley en el ejercicio de derechos, asesoramiento y defensa judicial de todas las personas.</t>
  </si>
  <si>
    <t>Garantizar a las personas el acceso a mecanismos judiciales y/o extrajudiciales que permitan resolver sus conflictos jurídicos.</t>
  </si>
  <si>
    <t>Se informa y orienta a las personas a hacer efectivos sus derechos, mediante la protección,defensa o restauración de los mismos</t>
  </si>
  <si>
    <t>Resolución Alternativa de Conflictos</t>
  </si>
  <si>
    <t>https://www.dipres.gob.cl/597/articles-139812_r_ejecutivo_institucional.pdf</t>
  </si>
  <si>
    <t>https://www.dipres.gob.cl/597/articles-139812_informe_final.pdf</t>
  </si>
  <si>
    <t>https://www.dipres.gob.cl/597/articles-139812_seguimiento_compromisos.pdf</t>
  </si>
  <si>
    <t>Contribuir al aumento de la oferta de prestaciones, calidad de la atención y capacidad resolutiva en la red pública de salud, con el objeto de aportar a la disminución de la morbimortalidad</t>
  </si>
  <si>
    <t>Aumentar la disponibilidad y retención de médicos y odontólogos especialistas en la red pública de salud, a objeto de contribuir a la disminución de las brechas de estos profesionales en dicha red</t>
  </si>
  <si>
    <t>https://www.dipres.gob.cl/597/articles-141233_r_ejecutivo_institucional.pdf</t>
  </si>
  <si>
    <t>https://www.dipres.gob.cl/597/articles-141233_informe_final.pdf</t>
  </si>
  <si>
    <t>Permitir a las personas de sectores emergentes y medios acceder a una solucion hbaitacional propia</t>
  </si>
  <si>
    <t>Favorecer la movilidad social y la conformacion de barrios y ciudades integradas, seguras y sustentables</t>
  </si>
  <si>
    <t>Familias no propietarias de vivienda , de todo el país, de sectores emergentes y clase mediacon capacidad de ahorro y de pagar un crédito hipotecario y/o disponer de recursos propios</t>
  </si>
  <si>
    <t>https://www.dipres.gob.cl/597/articles-141235_r_ejecutivo_institucional.pdf</t>
  </si>
  <si>
    <t>https://www.dipres.gob.cl/597/articles-141235_informe_final.pdf</t>
  </si>
  <si>
    <t>Posibilitar que los beneficiarios de un subsidio habitacional, del cual el subsidio de originación es complementario, puedan financiar su vivienda con el ahorro requerido, el subsidio y el crédito</t>
  </si>
  <si>
    <t>Otorgar y pagar a través de las instituciones financieras un subsidio adicional para todas aquellas operaciones de crédito hipotecario a beneficiarios de un subsidio habitacional de los programas en los cuales este subsidio de originación aplica</t>
  </si>
  <si>
    <t>Creación de sectores territoriales denominados “cuadrantes” cuyo control está asignado a una unidad policial</t>
  </si>
  <si>
    <t>Realizar patrullajes preventivos focalizados</t>
  </si>
  <si>
    <t>Atender los requerimientos policiales de la ciudadanía en terreno</t>
  </si>
  <si>
    <t>Fiscalizar los establecimientos que la ley dispone y en general aquellos que son generadores de actividad delictua</t>
  </si>
  <si>
    <t>Cumplimiento de órdenes judiciales</t>
  </si>
  <si>
    <t>https://www.dipres.gob.cl/597/articles-139801_r_ejecutivo_institucional.pdf</t>
  </si>
  <si>
    <t>https://www.dipres.gob.cl/597/articles-139801_informe_final.pdf</t>
  </si>
  <si>
    <t>https://www.dipres.gob.cl/597/articles-139801_seguimiento_compromisos.pdf</t>
  </si>
  <si>
    <t>Reducir el déficit en bienestar económico de los hogares de menores recursos del país. Adicionalmente, se identificó como un objetivo de pertinencia teórica3 aumentar la participación y formalización laboral</t>
  </si>
  <si>
    <t>Transferencia monetaria mensual, reajustable anualmente, estimada esencialmente según la cantidad de causantes viviendo a expensas del beneficiario.</t>
  </si>
  <si>
    <t>https://www.dipres.gob.cl/597/articles-146449_r_ejecutivo_institucional.pdf</t>
  </si>
  <si>
    <t>https://www.dipres.gob.cl/597/articles-146449_informe_final.pdf</t>
  </si>
  <si>
    <t>Contribuir al reconocimiento y desarrollo de los valores que fundamentan nuestra sociedad promoviendo una televisión de calidad</t>
  </si>
  <si>
    <t>Los telespectadores de la televisión abierta han accedido a una mayor oferta de programas de televisión de calidad, con el criterio de alto nivel cultural4 y de interés nacional o regiona</t>
  </si>
  <si>
    <t>Proyectos de TV emitidos en televisión abierta financiados por el Fondo CNTV</t>
  </si>
  <si>
    <t>Concurso Público Anual, a través del cual el Fondo financia la producción y emisión en Televisión Abierta de programas televisivos que cumplan con los criterios establecidos en las bases de concurso</t>
  </si>
  <si>
    <t>https://www.dipres.gob.cl/597/articles-139816_r_ejecutivo_institucional.pdf</t>
  </si>
  <si>
    <t>https://www.dipres.gob.cl/597/articles-139816_informe_final.pdf</t>
  </si>
  <si>
    <t>Contribuir a la obtención de una mejor posición del deporte de alto rendimiento nacional en los megaeventos1 de ciclo olímpico</t>
  </si>
  <si>
    <t>mejorar el desempeño del Deporte de Alto Rendimiento.</t>
  </si>
  <si>
    <t>asegurar la preparación de los deportistas de alto rendimiento, aumentando su participación en competencias de carácter internacional y promoviendo su permanencia en el sistema deportivo, a través de la ejecución y financiamiento de planes y programas</t>
  </si>
  <si>
    <t>Apoyo financiero a deportistas de Alto Rendimiento (PRODDAR y Premios)</t>
  </si>
  <si>
    <t>Financiamiento de los procesos técnicos deportivos para potenciar el desarrollo de deportistas, Servicios de apoyo al proceso de desarrollo deportivo y Proyección Deportiva.</t>
  </si>
  <si>
    <t>https://www.dipres.gob.cl/597/articles-139817_r_ejecutivo_institucional.pdf</t>
  </si>
  <si>
    <t>https://www.dipres.gob.cl/597/articles-139817_informe_final.pdf</t>
  </si>
  <si>
    <t>Los pequeños productores agropecuarios beneficiarios del programa, desarrollan proyectos de inversión para mejorar su competitividad y/o reponer capital físico afectado por emergencias agrícola</t>
  </si>
  <si>
    <t>Cofinanciar proyectos de emprendimiento económico (compra de equipos y/o maquinarias para la producción) de pequeños productores individuales o de grupos de agricultores asociados a un emprendimiento común)</t>
  </si>
  <si>
    <t>Las postulaciones de proyectos que involucren incentivos por montos iguales o inferiores a $5.000.000 se resuelven a través de Concursos a nivel de la Agencia de Área, mientras que los proyectos con un monto superior a esa cifra se resuelven a través de Concursos Regionales.</t>
  </si>
  <si>
    <t>https://www.dipres.gob.cl/597/articles-148818_informe_final.pdf</t>
  </si>
  <si>
    <t>Agricultura</t>
  </si>
  <si>
    <t>Mejorar la calidad de vida de la población de escasos recursos que habita en condiciones de marginalidad sanitaria</t>
  </si>
  <si>
    <t> Brindar atención preferencial para el progreso de barrios y campamentos irregulares con déficit de servicios básicos (agua potable, alcantarillado sanitario, electricidad y pavimentación</t>
  </si>
  <si>
    <t>Financian diversas tipologías de proyectos que son postulados por los municipios del país, principalmente en el ámbito del saneamiento sanitario, reparaciones/ampliaciones de sistemas de agua potable y alcantarillado, plantas de agua potable y aguas servidas, entre otros.</t>
  </si>
  <si>
    <t>Proveer los servicios de asistencia técnica, jurídica, servicios, financiamiento y seguimiento financiero de proyectos que cumplan con el Reglamento del Programa de Mejoramiento de Barrios</t>
  </si>
  <si>
    <t>https://www.dipres.gob.cl/597/articles-139765_r_ejecutivo_institucional.pdf</t>
  </si>
  <si>
    <t>https://www.dipres.gob.cl/597/articles-139765_informe_final.pdf</t>
  </si>
  <si>
    <t>Contribuir al aumento y desarrollo de la base empresarial de las MIPES.</t>
  </si>
  <si>
    <t>Implementar proyectos de inversión en negocios nuevos y/o incipientes</t>
  </si>
  <si>
    <t>Engloba las acciones y los programas destinados a la formación de habilidades, asistencia técnica y acompañamiento</t>
  </si>
  <si>
    <t>Desarrollo de competencias empresariales relacionadas a la gestión: comercial, de producción, interna, para la generación de redes y manejo de TIC´s, además, habilidades empresariales relacionadas a capacidad de aprendizaje, motivación, liderazgo y negociación</t>
  </si>
  <si>
    <t>https://www.dipres.gob.cl/597/articles-139768_r_ejecutivo_institucional.pdf</t>
  </si>
  <si>
    <t>https://www.dipres.gob.cl/597/articles-139768_informe_final.pdf</t>
  </si>
  <si>
    <t>https://www.dipres.gob.cl/597/articles-139768_seguimiento_compromisos.pdf</t>
  </si>
  <si>
    <t>Articula una red local de atención pública y privada, en torno a las problemáticas de los Niños, Niñas y Adolescentes (NNA) vulnerados en sus derechos</t>
  </si>
  <si>
    <t>ontribuir a procesos de prevención, protección y control de situaciones de riesgo y/o espiral delincuencial</t>
  </si>
  <si>
    <t>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t>
  </si>
  <si>
    <t>Garantizar desde la institucionalidad pública, en alianza con otros actores públicos y privados, el bienestar y ejercicio pleno de los derechos de la población menor de 18 años del país.</t>
  </si>
  <si>
    <t xml:space="preserve"> Contribuir a la superación de las situaciones de vulneración y/o a la interrupción de conductas transgresoras en niños, niñas y adolescentes derivados del Programa de Seguridad Integrada 24 Horas en ocho comunas de la R.M.</t>
  </si>
  <si>
    <t>https://www.dipres.gob.cl/597/articles-139778_r_ejecutivo_institucional.pdf</t>
  </si>
  <si>
    <t>https://www.dipres.gob.cl/597/articles-139778_informe_final.pdf</t>
  </si>
  <si>
    <t>https://www.dipres.gob.cl/597/articles-139778_seguimiento_compromisos.pdf</t>
  </si>
  <si>
    <t>Contribuir a mantener y mejorar la salud de la población</t>
  </si>
  <si>
    <t>Disminuir o mantener la morbilidad y mortalidad por enfermedades transmisibles prevenibles por vacunas (inmunoprevenibles) que han sido definidas como problema de salud pública en Chile, en concordancia con recomendaciones internacionales.</t>
  </si>
  <si>
    <t>https://www.dipres.gob.cl/597/articles-139781_r_ejecutivo_institucional.pdf</t>
  </si>
  <si>
    <t>https://www.dipres.gob.cl/597/articles-139781_informe_final.pdf</t>
  </si>
  <si>
    <t>https://www.dipres.gob.cl/597/articles-139781_seguimiento_compromisos.pdf</t>
  </si>
  <si>
    <t>Contribuir a mejorar las condiciones de vida de las familias que se encuentran en situación de pobreza extrema y/o en situación de pobreza.</t>
  </si>
  <si>
    <t>Aumentar los ingresos disponibles de las familias de zonas rurales</t>
  </si>
  <si>
    <t>Ayudar a familias en zonas urbanas que viven en condiciones de ruralidad, que se encuentran en situación de pobreza extrema y/o pobreza, a través del ahorro que generan mediante la producción de alimentos para el autoconsumo.</t>
  </si>
  <si>
    <t>Acceso a tecnologías simples y de fácil manejo para producir, preparar y preservar alimentos sanos y con eficiencia en el uso de los recursos disponibles (ahorro en agua, leña y/u otros insumos);</t>
  </si>
  <si>
    <t>Capacitación en el uso, manejo y reparación de las tecnologías implementadas junto con los materiales e insumos.</t>
  </si>
  <si>
    <t>https://www.dipres.gob.cl/597/articles-139782_r_ejecutivo_institucional.pdf</t>
  </si>
  <si>
    <t>https://www.dipres.gob.cl/597/articles-139782_informe_final.pdf</t>
  </si>
  <si>
    <t>Contribuir a la promoción, protección de los derechos y la participación social de los Adultos Mayores</t>
  </si>
  <si>
    <t>Incrementar la autonomía, autogestión y asociatividad de los Adultos Mayores</t>
  </si>
  <si>
    <t>Es un fondo concursable destinado a financiar proyectos presentados por organizaciones de adultos mayores</t>
  </si>
  <si>
    <t xml:space="preserve">Financiar iniciativas desarrolladas por instituciones públicas o privadas que trabajan con personas mayores y cuyo objetivo sea favorecer la autonomía funcional en adultos mayores con dependencia severa y que requieran del cuidado de terceros. </t>
  </si>
  <si>
    <t>https://www.dipres.gob.cl/597/articles-139783_r_ejecutivo_institucional.pdf</t>
  </si>
  <si>
    <t>https://www.dipres.gob.cl/597/articles-139783_informe_final.pdf</t>
  </si>
  <si>
    <t>https://www.dipres.gob.cl/597/articles-139783_seguimiento_compromisos.pdf</t>
  </si>
  <si>
    <t>Los pequeños productores cuyo negocio principal es la ganadería, establecen praderas suplementarias para disponer de forraje invernal o estival destinado a la alimentación animal, con el objetivo de evitar caídas en la producción pecuaria e inventario de animales.</t>
  </si>
  <si>
    <t>Incentivo para financiar el establecimiento de praderas suplementarias y/o recursos forrajeros</t>
  </si>
  <si>
    <t>El programa entrega una ayuda económica equivalente al 80% de los costos netos, asociados a los insumos y labores requeridas para el establecimiento de praderas suplementarias y/o recursos forrajeros.</t>
  </si>
  <si>
    <t>Los pequeños productores agropecuarios beneficiarios del programa, mejoran el acceso, disponibilidad y gestión del agua para aumentar o mantener la producción agropecuaria.</t>
  </si>
  <si>
    <t>Entrega de apoyos destinados a la elaboración de estudios y/o proyectos de inversión en obras de riego o drenaje intra y extra predial</t>
  </si>
  <si>
    <t>Entrega de incentivos para inversiones individuales o asociativas</t>
  </si>
  <si>
    <t>Entregar asesorías legales para regularizar derechos de agua</t>
  </si>
  <si>
    <t>Los pequeños productores agropecuarios tienen acceso o aumentan el financiamiento de sus inversiones productivas y/o de capital de trabajo, para mantener o incrementar su nivel de producción agropecuaria</t>
  </si>
  <si>
    <t>Créditos de largo plazo entregado a los beneficiarios que lo solicitan para complementar inversiones.</t>
  </si>
  <si>
    <t>Créditos de corto plazo entregado a los beneficiarios que lo solicitan para capital de trabajo</t>
  </si>
  <si>
    <t>Los pequeños productores agropecuarios beneficiarios del programa, fortalecen alianzas productivas con empresas agroindustriales, para aumentar el valor y la estabilidad de sus ventas con esas empresas demandantes.</t>
  </si>
  <si>
    <t>Población objetivo de este programa corresponde a pequeños productores agrícolas o campesinos, con producción excedentaria para venta a mercado local e internacional y que cuenten con iniciación de actividades</t>
  </si>
  <si>
    <t xml:space="preserve"> La primera modalidad es “Alianza Productiva”, bajo la cual la empresa, se hace cargo de los dos componentes del programa: la entrega de la asesoría en gestión comercial y calidad y asesoría en producción primaria y gestión predial</t>
  </si>
  <si>
    <t>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t>
  </si>
  <si>
    <t>Los pequeños productores agropecuarios y/o campesinos del secano de la región de Coquimbo beneficiarios del programa, aumentan sus capacidades de emprendimiento, de gestión, de articulación territorial y su capital productivo.</t>
  </si>
  <si>
    <t>Incrementar sus ventas de actividades agropecuarias y asociadas, en el marco de la sustentabilidad de los procesos productivos de la zona, así como para aumentar la participación campesina en las instancias de decisión local para el desarrollo rural4</t>
  </si>
  <si>
    <t>Entrega de servicios anuales y apoyos institucionales a través de Convenios celebrados entre INDAP con municipalidades, asociaciones, organizaciones campesinas u otras instituciones públicas o privadas. Incluía el financiamiento de servicios de asistencia técnica</t>
  </si>
  <si>
    <t>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t>
  </si>
  <si>
    <t>Fortalecer la participación campesina en las distintas instancias de desarrollo rural. Incluye el financiamiento de la participación de dirigentes campesinos en los Consejos de Desarrollo Local y el Consejo Superior</t>
  </si>
  <si>
    <t>Coquimbo</t>
  </si>
  <si>
    <t>Los pequeños productores agropecuarios y/o campesinos indígenas beneficiarios del programa, aumentan sus capacidades de emprendimiento, de gestión, de articulación territorial y su capital productivo, para incrementar sus ventas de actividades agropecuarias y asociadas.</t>
  </si>
  <si>
    <t>Pequeños productores agropecuarios y/o campesinos indígenas beneficiarios del programa, aumentan sus capacidades de emprendimiento, de gestión y su capital productivo, para incrementar sus ventas de actividades agropecuarias y asociadas.</t>
  </si>
  <si>
    <t>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</si>
  <si>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Este incentivo está orientado a optimizar la productividad de los agricultores del programa a través del cofinanciamiento de proyectos de emprendimiento económico silvoagropecuario y/o actividades asociadas.</t>
  </si>
  <si>
    <t>Este incentivo está destinado a la financiación de fertilizantes, insumos de producción y animales para la engorda, así como otros bienes necesarios para el desarrollo de la actividad silvoagropecuaria, de actividades conexas y/o mejoramiento ambiental</t>
  </si>
  <si>
    <t>Mujeres pertenecientes a familias de pequeños productores agropecuarios del país, mejoran sus habilidades personales, sus competencias de emprendimiento y gestión para incrementar sus ingresos.</t>
  </si>
  <si>
    <t>Este programa está destinado a mujeres potenciales beneficiarias de INDAP, a las cuales se les brinda una intervención de tres años</t>
  </si>
  <si>
    <t>Desarrollan actividades de capacitación (talleres, cursos, jornadas de formación, etc.), encuentros de intercambio de información entre beneficiarias del programa y con organismos relacionados, giras técnicas y acompañamiento.</t>
  </si>
  <si>
    <t>Recursos de incentivos para la implementación de proyectos productivos silvoagropecuarios, de turismo rural o agroindustria y artesanías, correspondientes a una o más unidades de primer año. Este instrumento se aplica solo durante el primer año de intervención</t>
  </si>
  <si>
    <t>Los pequeños productores agropecuarios y/o campesinos beneficiarios del programa, aumentan sus capacidades de emprendimiento, de gestión, de articulación territorial y su capital productivo, para incrementar sus ventas de actividades agropecuarias y asociadas</t>
  </si>
  <si>
    <t>Los pequeños productores agropecuarios y/o campesinos beneficiarios del programa, aumentan sus capacidades de emprendimiento, de gestión y su capital productivo, para incrementar sus ventas de actividades agropecuarias y asociadas.</t>
  </si>
  <si>
    <t>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</si>
  <si>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Optimizar la productividad de los agricultores del programa a través del cofinanciamiento de proyectos de emprendimiento económico silvoagropecuario y/o actividades asociadas.</t>
  </si>
  <si>
    <t>El Programa Gestión y Soporte Organizacional (PROGYSO) se inicia el año 2011. Nace a partir del Programa de Desarrollo (PRODES), creado en el 2002.</t>
  </si>
  <si>
    <t>Organizaciones nacionales y regionales, con personalidad jurídica, que entre sus usuarios reúna una mayoría absoluta de actuales o potenciales beneficiarios de INDAP</t>
  </si>
  <si>
    <t>Desarrollan sus capacidades de gestión organizacional y de soporte administrativo, para mejorar su capacidad de representación y facilitar la implementación de las políticas de INDAP.</t>
  </si>
  <si>
    <t>Implementación de sistemas de mejoramiento de las capacidades organizacionales, técnicas y/o dirigenciales</t>
  </si>
  <si>
    <t>Fortalecer los canales internos y externos de comunicación y difusión de las organizaciones.</t>
  </si>
  <si>
    <t>Fortalecer las organizaciones en los siguientes tópicos: la generación o refuerzo de las capacidades, técnicas, administrativas con el objeto de lograr una efectiva interacción dentro de la organización como con la institucionalidad sectorial pública y privada</t>
  </si>
  <si>
    <t>Los pequeños productores agropecuarios beneficiarios del programa, con niveles mínimos de desarrollo de sus negocios, aumentan sus capacidades productivas y de gestión para mejoran el nivel de competitividad de su explotación.</t>
  </si>
  <si>
    <t>Brinda apoyo puntual que busca resolver demandas del usuario que
requieren orientación profesional especializada o destinada a resolver situaciones de
urgencia de la explotación</t>
  </si>
  <si>
    <t>Apoya el desarrollo de negocios de usuarios individuales. Para esto se apoya la elaboración y la gestión de un Plan de Negocios.</t>
  </si>
  <si>
    <t>Apoya el desarrollo de negocios de carácter asociativo desarrollados por las Empresas Asociativas Campesinas</t>
  </si>
  <si>
    <t>Incluye asesoría técnica individual o grupal para el desarrollo de capacidades productivas y de gestión de los usuarios</t>
  </si>
  <si>
    <t>Contribuir a que la población objetivo del programa mejore su percepción de la importancia del ahorro previsional, desarrolle actitudes favorables respecto de éste y sean capaces de cautelar y ejercer sus deberes y derechos previsionales</t>
  </si>
  <si>
    <t xml:space="preserve">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t>
  </si>
  <si>
    <t>Apoyar financieramente el desarrollo de proyectos de promoción, educación y difusión en materia previsional.</t>
  </si>
  <si>
    <t>https://www.dipres.gob.cl/597/articles-141213_r_ejecutivo_institucional.pdf</t>
  </si>
  <si>
    <t>https://www.dipres.gob.cl/597/articles-141213_informe_final.pdf</t>
  </si>
  <si>
    <t>Contribuir a la viabilidad de la actividad productiva agropecuaria</t>
  </si>
  <si>
    <t>Los productores agropecuarios contrataron seguro agrícola para enfrentar daños por fenómenos climáticos adversos</t>
  </si>
  <si>
    <t>Incentivar la contratación del seguro agrícola mediante un subsidio que financia el 50% del valor de la prima neta con un tope máximo de 80UF por agricultor por temporada agrícola, además de un monto fijo de 1,5 UF por póliza</t>
  </si>
  <si>
    <t>Generar las condiciones de comunicación social del Seguro y facilitar la adopción cultural por parte de sus destinatarios.</t>
  </si>
  <si>
    <t>https://www.dipres.gob.cl/597/articles-141212_informe_final.pdf</t>
  </si>
  <si>
    <t>https://www.dipres.gob.cl/597/articles-141212_r_ejecutivo_institucional.pdf</t>
  </si>
  <si>
    <t>Contribuir a mejorar la convivencia social y la seguridad ciudadana.</t>
  </si>
  <si>
    <t>Las personas bajo el control o custodia de GENCHI, mejoran sus posibilidades de reinserción social.</t>
  </si>
  <si>
    <t>Programa de reinserción social para las personas privadas de libertad (subsistema cerrado</t>
  </si>
  <si>
    <t>Se realiza en el Subsistema Cerrado que comprende unidades penales que albergan a personas privadas de libertad. Depende de la Subdirección Técnica de Gendarmería de Chile a través del Departamento de Readaptación Socia</t>
  </si>
  <si>
    <t>https://www.dipres.gob.cl/597/articles-141209_r_ejecutivo_institucional.pdf</t>
  </si>
  <si>
    <t>https://www.dipres.gob.cl/597/articles-141209_informe_final.pdf</t>
  </si>
  <si>
    <t>Contribuir a mejorar el acceso a la justicia a todas aquellas personas que presenten un conflicto en materias de familia.</t>
  </si>
  <si>
    <t>Personas han tenido la alternativa de resolver su conflicto de familia en las materias de alimentos, cuidado personal y relación directa y regular.</t>
  </si>
  <si>
    <t>Servicio de mediación licitado en todo el país para las personas que presenten conflictos de familia en las materias de alimentos, cuidado personal y relación directa y regular</t>
  </si>
  <si>
    <t>Registro de Mediadores disponible para usuarios/as del servicio de mediación familiar</t>
  </si>
  <si>
    <t>Mediación familiar promovida y difundida como mecanismo de resolución alternativa de conflictos de familia</t>
  </si>
  <si>
    <t>https://www.dipres.gob.cl/597/articles-141205_informe_final.pdf</t>
  </si>
  <si>
    <t>https://www.dipres.gob.cl/597/articles-141205_r_ejecutivo_institucional.pdf</t>
  </si>
  <si>
    <t>Contribuir al cuidado y educación de niños(as) menores de 6 años que no cuentan con atención educativa</t>
  </si>
  <si>
    <t>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t>
  </si>
  <si>
    <t>Acceso a cuidado y educación para niños y niñas menores de 6 años, vulnerables y/o fuera del sistema, a través de Proyectos de mejoramiento educativo implementados por organizaciones funcionales comunitarias</t>
  </si>
  <si>
    <t>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t>
  </si>
  <si>
    <t>https://www.dipres.gob.cl/597/articles-141204_r_ejecutivo_institucional.pdf</t>
  </si>
  <si>
    <t>https://www.dipres.gob.cl/597/articles-141204_informe_final.pdf</t>
  </si>
  <si>
    <t>Contribuir a aumentar la equidad y la igualdad de oportunidades en el acceso a la educación superior</t>
  </si>
  <si>
    <t>Eliminar las barreras económicas que presenta la inscripción a la PSU como medio de acceso a la educación superior.</t>
  </si>
  <si>
    <t>Subsidio por el total del arancel de inscripción a la PSU destinado a los alumnos egresados de la promoción del año en curso y que pertenezcan a establecimientos municipales o particulares subvencionado</t>
  </si>
  <si>
    <t>https://www.dipres.gob.cl/597/articles-141203_r_ejecutivo_institucional.pdf</t>
  </si>
  <si>
    <t>https://www.dipres.gob.cl/597/articles-141203_informe_final.pdf</t>
  </si>
  <si>
    <t>https://www.dipres.gob.cl/597/articles-141203_seguimiento_compromisos.pdf</t>
  </si>
  <si>
    <t>Promover el turismo interno nacional en temporada baja y media, potenciando el quiebre de la estacionalidad turística e incrementando el turismo a través de la vinculación e involucramiento de los distintos actores</t>
  </si>
  <si>
    <t>Contribuir a Potenciar el quiebre de la estacionalidad turística nacional.</t>
  </si>
  <si>
    <t>La empresa turística , afectada por problemas de estacionalidad, en los destinos turísticos identificados por el programa, ha incrementado su actividad turística en temporada media y baja.</t>
  </si>
  <si>
    <t>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t>
  </si>
  <si>
    <t>Mismo informe Giras de Estudios (GE)</t>
  </si>
  <si>
    <t>https://www.dipres.gob.cl/597/articles-141202_r_ejecutivo_institucional.pdf</t>
  </si>
  <si>
    <t>https://www.dipres.gob.cl/597/articles-141202_informe_final.pdf</t>
  </si>
  <si>
    <t>https://www.dipres.gob.cl/597/articles-141202_seguimiento_compromisos.pdf</t>
  </si>
  <si>
    <t>Mismo informe Programa Vacaciones Tercera Edad (VTE)</t>
  </si>
  <si>
    <t>Dirigido a los productores agrícolas que tienen algún nivel de degradación en sus suelos, ya sea física (erosión), química y/o biológica, y consiste en una bonificación estatal de los costos netos4 de actividades relacionadas con el manejo de suelos</t>
  </si>
  <si>
    <t>Incentivar el uso de una dosis de fertilización de recuperación en suelos deficitarios.</t>
  </si>
  <si>
    <t>Incentivar la incorporación al suelo de azufre, potasio y calcio, para corregir déficit de estos elementos y la incorporación de sustancias para reducir la acidez, para neutralizar la toxicidad del aluminio o para reducir el nivel de salinidad</t>
  </si>
  <si>
    <t>Establecimiento o regeneración de una cubierta vegetal permanente en suelos degradados.</t>
  </si>
  <si>
    <t>https://www.dipres.gob.cl/597/articles-139723_informe_final.pdf</t>
  </si>
  <si>
    <t>Contribuir a la superación de situaciones de vulneración de derechos, la interrupción de conductas transgresoras y/o infracciones de ley en niños, niñas y adolescentes derivados del Programa de Seguridad Integrada 24 Horas</t>
  </si>
  <si>
    <t>Favorecer la restitución de derechos e integración social de los niños/as y adolescentes ingresados al sistema de atención Vida Nueva.</t>
  </si>
  <si>
    <t>Fortalecer y favorecer la integración social de las familias y adultos responsables de los niños/as y adolescentes ingresados al sistema de atención Vida Nueva</t>
  </si>
  <si>
    <t>Fortalecer a los actores locales de las comunas priorizadas como un sistema de gestión que favorece las coordinaciones locales orientadas a la prevención y reinserción de niños/as y adolescentes afectados de vulneraciones de derecho y</t>
  </si>
  <si>
    <t>https://www.dipres.gob.cl/597/articles-139721_informe_final.pdf</t>
  </si>
  <si>
    <t>La Florida, La Granja, La Pintana, Lo Espejo, Peñalolén, Pudahuel, Puente Alto y Recoleta</t>
  </si>
  <si>
    <t>El programa de becas de educación de superior corresponde a un conjunto de siete becas de arancel administradas por la División de Educación Superior del Ministerio de Educación (MINEDUC)</t>
  </si>
  <si>
    <t>Lograr mayor equidad en el acceso y permanencia en la educación superior, asegurar la calidad de nuestras instituciones y programas, además de promover la pertinencia de la educación superior</t>
  </si>
  <si>
    <t>Promover el acceso a la educación superior y el incremento de capital humano a través del financiamiento por parte del Estado, establecido como derecho de reparación a las violaciones a los derechos humanos consignado en la legislación</t>
  </si>
  <si>
    <t>https://www.dipres.gob.cl/597/articles-141159_informe_final.pdf</t>
  </si>
  <si>
    <t>https://www.dipres.gob.cl/597/articles-141161_seguimiento_compromisos.pdf</t>
  </si>
  <si>
    <t>Beca Ed Superior</t>
  </si>
  <si>
    <t>Apoyar el acceso y permanencia en la educación superior de estudiantes vulnerables y destacado</t>
  </si>
  <si>
    <t>Apoyar el acceso y permanencia en la educación superior de estudiantes vulnerables y que manifiesten un interés por ingresar a estudiar carreras técnicas y de nivel profesional, financiando parcialmente el costo total del arancel anual de una carrera.</t>
  </si>
  <si>
    <t>Apoyar el acceso y permanencia en la educación superior de estudiantes vulnerables, financiando parcialmente el costo total del arancel anual de una carrera.</t>
  </si>
  <si>
    <t>Apoyar el acceso y permanencia en la educación superior de estudiantes vulnerables, financiando parcialmente (según el arancel de referencia de cada carrera) el costo total del arancel anual de una carrera.</t>
  </si>
  <si>
    <t xml:space="preserve">Apoyar el acceso y permanencia en la educación superior de estudiantes vulnerables y que sean hijos de profesionales de la educación financiando parcialmente el costo total del arancel
anual de una carrera.
</t>
  </si>
  <si>
    <t>Mejorar la calidad de la educación integrando la informática educativa en el sistema escolar, de acuerdo a las necesidades de la sociedad de la información</t>
  </si>
  <si>
    <t>Mejorar los aprendizajes curriculares y las competencias del siglo XXI en alumnos</t>
  </si>
  <si>
    <t>Desarrollar tanto competencias digitales en docentes para que innoven en sus procesos enseñanza­aprendizaje, como capacidades en los establecimientos para integrar las tecnologías con usos pedagógicos</t>
  </si>
  <si>
    <t>La  construcción  de  una  sólida  fundación  de infraestructura  digital,  conectividad  y  sustentabilidad  para las escuelas</t>
  </si>
  <si>
    <t>El  desarrollo  de  competencias  digitales  tanto  en  los  docentes  en  ejercicio  y  en  formación  inicial,  como las competencias del siglo XXI en los alumnos. </t>
  </si>
  <si>
    <t>https://www.dipres.gob.cl/597/articles-141166_r_ejecutivo_institucional.pdf</t>
  </si>
  <si>
    <t>https://www.dipres.gob.cl/597/articles-141166_informe_final.pdf</t>
  </si>
  <si>
    <t>https://www.dipres.gob.cl/597/articles-141166_seguimiento_compromisos.pdf</t>
  </si>
  <si>
    <t>Tecnologías de la Información y Comunicación TIC´s</t>
  </si>
  <si>
    <t>Incentivar a los jóvenes que obtuvieron buenos resultados en la PSU para que estudien pedagogía.</t>
  </si>
  <si>
    <t>Beca Educación Superior</t>
  </si>
  <si>
    <t>sin información</t>
  </si>
  <si>
    <t>Abreviatura</t>
  </si>
  <si>
    <t>Programas de Justicia Juvenil</t>
  </si>
  <si>
    <t>Gasto del PIB a precios corrientes, referencia 2013, información histórica (miles de millones de pesos)</t>
  </si>
  <si>
    <t>Periodo</t>
  </si>
  <si>
    <t>1. Producto Interno Bruto</t>
  </si>
  <si>
    <t>Gasto del PIB volumen a precios del año anterior encadenado, referencia 2013, información histórica (miles de millones de pesos encadenados)</t>
  </si>
  <si>
    <t>2. Producto Interno Bruto</t>
  </si>
  <si>
    <t>3. Deflactor</t>
  </si>
  <si>
    <t>Metadatos</t>
  </si>
  <si>
    <t>Notas</t>
  </si>
  <si>
    <t>Nombre y/o definición</t>
  </si>
  <si>
    <t>Unidad</t>
  </si>
  <si>
    <t>Miles de millones de pesos</t>
  </si>
  <si>
    <t>Frecuencia</t>
  </si>
  <si>
    <t>Anual</t>
  </si>
  <si>
    <t>Banco Central de Chile</t>
  </si>
  <si>
    <t>Base</t>
  </si>
  <si>
    <t>Última actualización</t>
  </si>
  <si>
    <t>Primera observación</t>
  </si>
  <si>
    <t>Última observación</t>
  </si>
  <si>
    <t>Correo de contacto</t>
  </si>
  <si>
    <t>cuentasnacionales@bcentral.cl</t>
  </si>
  <si>
    <t>Para el periodo 1960 – 1986, se realizó un empalme estadístico, en el cual se homologaron los resultados del año 1960 a la serie basada en la Compilación de referencia 2013. El sesgo observado entre las dos mediciones nominales para el año 1986, se distribuyó proporcionalmente, obteniéndose series nominales consistentes. A partir de éstas, se estimaron las series en términos reales.</t>
  </si>
  <si>
    <t>https://si3.bcentral.cl/Siete/ES/Siete/Cuadro/CAP_CCNN/MN_CCNN76/CCNN_HIST13_ENC/CCNN_HIST13_ENC</t>
  </si>
  <si>
    <t>IPC y medidas subyacentes, base Promedio 2018=100, series referenciales</t>
  </si>
  <si>
    <t>1. IPC General</t>
  </si>
  <si>
    <t>Índice</t>
  </si>
  <si>
    <t>Mensual</t>
  </si>
  <si>
    <t>Instituto Nacional de Estadísticas</t>
  </si>
  <si>
    <t>Desfase publicación</t>
  </si>
  <si>
    <t>8 días terminado el mes</t>
  </si>
  <si>
    <t>Promedio 2018 = 100</t>
  </si>
  <si>
    <t>Ene.2018</t>
  </si>
  <si>
    <t>Ago.2020</t>
  </si>
  <si>
    <t>contacto_bde@bcentral.cl</t>
  </si>
  <si>
    <t>La cifra de inflación del INE considera un decimal.
Contiene las series referenciales correspondiente al año base del indicador, desde enero 2018 a diciembre 2018. IPC: Índice de precios al consumidor (IPC). Las variaciones en 12 meses de la serie referencial, se utilizan para efectos de análisis.
IPC SAE: Corresponde al IPC menos Alimentos y Energía, es decir, este índice excluye del índice general los productos que componen los índices de Alimentos y Energía. Posee 218 productos y corresponde al 73,16% de la ponderación de la canasta IPC.
IPC Productos Transables: muestra la variación que presenta el conjunto de productos que son susceptibles de ser comercializados internacionalmente. Por ejemplo, todos los bienes no perecibles entran en esta categoría. Posee 223 productos, que corresponden al 54,14% de la canasta IPC.
IPC Productos No Transables: a la inversa del índice anterior, el índice analítico de Productos No Transables muestra la variación de precios que presenta el conjunto de productos que no son susceptibles de ser comercializados internacionalmente. Representan el 45,86% de la ponderación total del IPC, con 80 productos dentro de esta categoría.
IPC Frutas y Verduras Frescas: este índice incluye los productos clasificados como frutas y verduras frescas, que suman 17 productos y representan 2,82% de la canasta IPC.</t>
  </si>
  <si>
    <t>https://si3.bcentral.cl/Siete/ES/Siete/Cuadro/CAP_PRECIOS/MN_CAP_PRECIOS/IPC_G_2018/IPC_G_2018</t>
  </si>
  <si>
    <t>Presupuesto a Precios de 2013</t>
  </si>
  <si>
    <t>Capacidades de gestión empresarial</t>
  </si>
  <si>
    <t>competencias digitales en docentes</t>
  </si>
  <si>
    <t>patrimonio cultural audiovisual</t>
  </si>
  <si>
    <t>Educación parvularia</t>
  </si>
  <si>
    <t>Protección social;Educación parvularia</t>
  </si>
  <si>
    <t>Subsidio habitacional</t>
  </si>
  <si>
    <t>seguridad ciudadana</t>
  </si>
  <si>
    <t>Desarrollo economico;pobreza</t>
  </si>
  <si>
    <t>pobreza</t>
  </si>
  <si>
    <t>Calidad de vida;Enfermedades Crónicas</t>
  </si>
  <si>
    <t>Enfermedades Crónicas</t>
  </si>
  <si>
    <t>disponibilidad y retención de médicos y odontólogos</t>
  </si>
  <si>
    <t>Establecimientos educacionales;Prevensión Drogas</t>
  </si>
  <si>
    <t>seguridad ciudadana;Prevensión Drogas</t>
  </si>
  <si>
    <t>Desarrollo economico;Innovación tecnológica</t>
  </si>
  <si>
    <t>Innovación tecnológica</t>
  </si>
  <si>
    <t>Calidad de vida;Innovación tecnológica</t>
  </si>
  <si>
    <t>Establecimientos educacionales;Beca</t>
  </si>
  <si>
    <t>becas de educación de superior</t>
  </si>
  <si>
    <t>Rendimiento deportivo</t>
  </si>
  <si>
    <t>Subsidio al empleo</t>
  </si>
  <si>
    <t>Rendimiento escolar</t>
  </si>
  <si>
    <t>Calidad  de  vida</t>
  </si>
  <si>
    <t>violencia contra las mujeres</t>
  </si>
  <si>
    <t>Calidad de vida;Recuperación de Barrios;Servicios básicos</t>
  </si>
  <si>
    <t>Servicios básicos</t>
  </si>
  <si>
    <t>salud  bucal</t>
  </si>
  <si>
    <t>Calidad de vida;Enfermedades Crónicas;salud  bucal</t>
  </si>
  <si>
    <t>https://www.dipres.gob.cl/597/w3-propertyvalue-23076.html</t>
  </si>
  <si>
    <t>https://www.dipres.gob.cl/597/articles-205717_r_ejecutivo_institucional.pdf</t>
  </si>
  <si>
    <t>https://www.dipres.gob.cl/597/articles-205717_informe_final.pdf</t>
  </si>
  <si>
    <t>contribuir a la generación de empleo</t>
  </si>
  <si>
    <t>Servicios básicos: Esta tipología incluye iniciativas relacionadas al agua potable, alcantarillado sanitario y pluvial, iluminación pública, canales, grupos electrógenos</t>
  </si>
  <si>
    <t>Vialidad: Considera iniciativas que mejoran la situación de la comunidad relacionada con la red vial,  intervención  de  muros  de  contención,  calzadas,  veredas,  aceras,  bandejones, sendas, pasarelas, puentes, señaléticas, garitas camineras</t>
  </si>
  <si>
    <t>Habilitación de servicios públicos: Refiere a iniciativas que intervengan locales para serviciospúblicos, escuelas, jardines infantiles,  edificio  consistorial,  consultorios,  cementerios,  teatros,  centros  culturales, bibliotecas</t>
  </si>
  <si>
    <t>Equipamiento comunitario: Se  asocia  a  iniciativas  que  permitan  el  desarrollo  de  actividades  de  encuentro, sociabilidad y seguridad ciudadana a nivel local. Incluye sedes sociales, multicanchas, espacios públicos, borde costero, áreas verdes, mobiliario urbano, juegos infantiles</t>
  </si>
  <si>
    <t>apoyo a personas en situación de dependencia funcional (PSDF)</t>
  </si>
  <si>
    <t>sistemas de cuidados de largo plazo</t>
  </si>
  <si>
    <t>sobrecarga  del  cuidador, definidacomo un estado resultante de la acción de cuidar a una persona dependiente, que amenaza la salud física y mental del cuidador</t>
  </si>
  <si>
    <t>desde  el  2016  y  hasta  el  2018  se ejecutó  el  Programa  Servicio  de  Atención  Domiciliaria  para  personas  con  dependencia (denominado Chile Cuida), a través de Fundación de las Familias(FUNFA)de la Dirección Sociocultural de la Presidencia, que se considera la experiencia de base para uno de los actuales componentes del PRLAC (Servicios de Atención Domiciliaria, SAD)</t>
  </si>
  <si>
    <t>Servicios de respiro para cuidadores</t>
  </si>
  <si>
    <t>Subsidios monetarios</t>
  </si>
  <si>
    <t>https://www.dipres.gob.cl/597/articles-205725_r_ejecutivo_institucional.pdf</t>
  </si>
  <si>
    <t>https://www.dipres.gob.cl/597/articles-205725_informe_final.pdf</t>
  </si>
  <si>
    <t>https://www.dipres.gob.cl/597/articles-205708_r_ejecutivo_institucional.pdf</t>
  </si>
  <si>
    <t>https://www.dipres.gob.cl/597/articles-205708_informe_final.pdf</t>
  </si>
  <si>
    <t>beneficia a mujeres embarazadas, madres que amamantan hasta el 6º mes posparto y niños menores a 6 años de edad</t>
  </si>
  <si>
    <t>entrega gratuita  y  mensual  de  alimentos  especiales a  través  del  Instituto  de  Nutrición y Tecnología de los Alimentos, de la Universidad de Chile (INTA) ̧ a personas con diagnóstico específico de alguno de los errores innatos del metabolismo  (EIM)</t>
  </si>
  <si>
    <t>contribuir a mejorar y mantener la salud de la población de personas mayores</t>
  </si>
  <si>
    <t>baja aceptabilidad y variedad de los productos</t>
  </si>
  <si>
    <t>no cuentan con una gestión de la información de los beneficiarios que permita identificar quiénes son los beneficiarios que retiran los productos, ni hacer un estudio de comportamiento de los mismos a lo largo del tiempo</t>
  </si>
  <si>
    <t>Recomendación 1</t>
  </si>
  <si>
    <t>Recomendación 2</t>
  </si>
  <si>
    <t>Recomendación 3</t>
  </si>
  <si>
    <t>Recomendación 4</t>
  </si>
  <si>
    <t>Recomendación 5</t>
  </si>
  <si>
    <t>Recomendación 6</t>
  </si>
  <si>
    <t>Recomendación 7</t>
  </si>
  <si>
    <t>https://www.dipres.gob.cl/597/articles-205705_r_ejecutivo_institucional.pdf</t>
  </si>
  <si>
    <t>https://www.dipres.gob.cl/597/articles-205705_informe_final.pdf</t>
  </si>
  <si>
    <t>Estudiantes  destacados  reciben  una  beca  de  arancel  y  manutención  por  la duración de la carrera para estudiar una carrera docente</t>
  </si>
  <si>
    <t>Licenciados con puntajes de ingreso PSU igual o sobre 600 reciben una beca de arancel para pedagogía</t>
  </si>
  <si>
    <t>puntajes PSU mayores o iguales a 600 puntos</t>
  </si>
  <si>
    <t>Este beneficio es administrado y gestionado por la Junta Nacional de Auxilio Escolar y Becas (JUNAEB)</t>
  </si>
  <si>
    <t>El arancel financiado corresponde al arancel real que tenía la carrera el año 2011, reajustado cada año por IPC</t>
  </si>
  <si>
    <t>Incorporar como parte formal del programa actividades de acompañamiento y apoyo a becarios titulados, para así proveerles de facilidades en su inserción laboral en el sector subvencionado  y  en  su  ejercicio  docente  durante  los  primeros  años,  acción  que contribuiría  al  cumplimiento  del  propósito.  Se  recomienda  que  estas  actividades  se coordinen en conjunto con las iniciativas yaexistentes en CPEIP y con las atribuciones de la Política de Carrera Docente, en especial aquellas destinadas a la inserción y apoyo a profesores nóveles.En particular, se recomienda asegurar cupos para los jóvenes egresados en BVP en el Programa de Inducción y Mentoría de CPEIP, o bien que en los criterios de evaluación a los postulantes del Programa de Inducción y Mentoría se pondere positivamente haber sido parte de BVP.</t>
  </si>
  <si>
    <t>Para  evitar  que  BVP  pierda  atractivo  respecto  de  gratuidad  se  recomienda  que  el programa ofrezca mayores incentivosa estudiantes que sean potenciales beneficiarios de ambos beneficios, demanera de asegurar que estudiantes de desempeño elevado que pueden acceder a ambos beneficios prefieran BVP por sobre gratuidad. Si bien el entregar apoyos concretos que faciliten la entrada y permanencia de estos becados en cargos docentes en el sistema educativo que recibe financiamiento del Estadorepresenta un beneficio en sí, se recomienda también considerar incentivos específicos a estudiantes de deciles 60% e inferior, a modo de incentivo adicional. Estos incentivos podrían ser, por ejemplo, becas de manutención para todos, independiente del desempeño en PSU</t>
  </si>
  <si>
    <t>En  consonancia  con  la  propuesta  anterior,  se  recomienda  asegurar  cupos  para  los jóvenes egresados en BVP en el Programa de Inducción y Mentoría de CPEIP, o bien que en los criterios de evaluación a los postulantes del Programa de Inducción y Mentoría se pondere positivamente haber sido parte de BVP</t>
  </si>
  <si>
    <t>Se  recomienda  fortalecer  las funciones  de  seguimiento  a  la  retribución,  a  través  de sistemas informáticos cuya finalidad sea operacionalizar y medirla a nivel estudiante. En el  corto  plazo,  se  recomienda  hacer  uso  de  las  bases  de  datos  del  Ministerio  de Educación(en particular las bases de datos que describen loscargos docentes) para monitorear periódicamente las tasas de retribución al sistema y la trayectoria profesional de las y los becarios de BVP</t>
  </si>
  <si>
    <t>Se cree  necesario fortalecer  la  comunicación  con  las  y  los  becarios  de  BVP, estableciendo un contacto fluido, que permita a las y los estudiantes y postulantes 1) conocer los beneficios de la Política de Carrera Docente y cómo ésta se articula con la BVP y 2) responder a dudas de los becarios en relación a la retribución y titulación,entre otros</t>
  </si>
  <si>
    <t>Se  sugiere  diseñar  las  transferencias  de  cada  una  de  las  becas  del  DFE  de  forma coordinada.  Uniformar  los  aranceles  evitaría  diferencias  entre  becas  que  resulten ineficientes para el programa, y permitiría que contara con más recursos, que podrían usarse para implementar mejoras al programa</t>
  </si>
  <si>
    <t>https://www.dipres.gob.cl/597/articles-205704_r_ejecutivo_institucional.pdf</t>
  </si>
  <si>
    <t>https://www.dipres.gob.cl/597/articles-205704_informe_final.pdf</t>
  </si>
  <si>
    <t>Reposición: Proyectos de diseño, reposición y/o ampliación con mejores estándares de calidad</t>
  </si>
  <si>
    <t>Conservación   :   Proyectos   de   conservación   y/o   mejoramiento   parcial   de infraestructura educacional pública deteriorada o en deterioro, con mejores estándares de calidad</t>
  </si>
  <si>
    <t>Emergencias:  Proyectos  para  reestablecer  infraestructura  educacional  pública dañada por situaciones de emergencia y/o catástrofe natural</t>
  </si>
  <si>
    <t>financiamiento para la ejecución de proyectos de infraestructura escolar pública a sostenedores   municipales   y   del   SAD (no   entrega   infraestructura   propiamente   tal),   y   entrega lineamientos   ministeriales   a los   SLEP(prioridades   ministeriales   en   infraestructura   escolar   ycaracterísticas deseables de los proyectos)</t>
  </si>
  <si>
    <t>La   subvención   escolar   que   reciben   los establecimientos depende  dela  asistencia  de  los  estudiantes,  lo  que  perjudica a  aquellos  de dependencia  municipaly  SAD.  Los EE ubicados  en  zonas  urbanas  tienden  a  atender  una  población más  vulnerable  socialmente,  y  los  ubicados  en  zonas  rurales,  tienen  menor  matrícula  y  están físicamente aislados, por lo que,en ambos casos, presentan tasas de inasistencia escolar más altas, por  lo  que  la  subvencióneducacional  (basal  y  de  ruralidad)  no  es  suficiente</t>
  </si>
  <si>
    <t>Recomendación 8</t>
  </si>
  <si>
    <t>Modificaciones al Diseño del Programa: Se  propone  la  incorporación  de un nuevo  componente  al  Programa  asociado  al  diagnóstico,  y  una actividad  transversal  a  los  componentes, asociadaa  la  asistencia  técnica  a  sostenedores. Estas propuestas se desarrollan en las recomendaciones siguientes. Por  otro  lado,  se  propone  también  incorporar a  los  componentesde  Reposición  y  Conservación, además  de  los  actuales  indicadores  que  miden  la  incorporación  de  los  nuevos  estándares  a  la infraestructura  escolar, indicadores  que  midan  el  nivel  de  logro  de  estos  componentes  respecto  de mejorar el nivel de deterioro de los establecimientos.Respecto  del  indicador  de  calidad  a  nivel  de  proceso,  se  propone  establecer  una  meta  de  días máximos,  y medir  la  cantidad  de  proyectos  que no  logran  dicho  plazo  máximo,  en  particular  para  las etapas  de  inicio  de  obras  (desde  la  total  tramitación  de  convenios  en  caso  de  sostenedores municipales), y cierre administrativo de proyectos (desde la finalización física de la obra). Esto debido a  que  los  valores  promedio  pueden  esconder  altas  variabilidades,  que  afectan  la  calidad  de  los productos entregados por el Programa.Se  propone  también  incorporar  metas  a  los  indicadores,  con  el  objetivo  de  planificar  las  operaciones desde  una  lógica  de  logro,  orientándolas  de  manera  eficaz,  considerando  en  esto,  la  naturaleza permanente de la conservación de la infraestructura.</t>
  </si>
  <si>
    <t>Generar un sistema de diagnóstico que se mantenga actualizado: La  recomendación  es  desarrollar  e  implementar  un  sistema  que  permita  conocer  el  estado  de  la infraestructura  escolar  pública,  que  se  mantenga  actualizado  en  el  tiempo,  como  un  componente  del Programa. Este  sistema,  además  de  orientar  los  esfuerzos  del  Programa,  es  un  producto  que  va directamenteorientadoa la población potencial, ya que les entrega la información necesaria para que la identificación y priorización de sus proyectos sea más eficaz.Este sistema debiese incorporar no solo la dimensión deterioro de la infraestructura, sinoquetambién a la dimensiónestándares. Además, debiera incorporar las mejoras de infraestructura que se ejecutan con financiamiento de otros fondos, para que efectivamente, sea un diagnóstico actualizado.El  Programa,  en  sudiseño  y  estrategia,  y  con  un  nuevo  levantamiento  y  Catastro  no  solo  tendría elementos de diagnóstico de las necesidades de infraestructura y equipamiento actualizadas, sino que podría  permitir  al  Programa  un  nuevo  diseño  y  estrategia,  que  considere  una  definición  de  Población Objetivo  y  Criterios  de  Focalización,  las  que  buscarían  posicionar  la  elegibilidad  de  los  potenciales beneficiarios  en  función  de  las  necesidades  y  las  condiciones  de  deterioro  de  su  infraestructura,  y permitiría  una  evaluación  del  cumplimiento  del  propósito  y  del  logro  de  objetivos  del  Programa, contrastando con la situación anterior</t>
  </si>
  <si>
    <t>Incorporar  la  asistencia  técnica  a  sostenedores  como  unaactividad  transversal  a  los componentes del Programa: La recomendación es incorporar la asistencia técnica a sostenedores (municipales y SLEP) como una actividad transversal a los componentes del Programa, destinando los recursos financieros y humanos necesarios para su correcto desempeño. Para  sostenedoresmunicipales,  debiese  identificar  aquellos  que  requieren  asistencia,  tanto  en  la identificación  como  en  la  preparación  de  los  proyectos,  ya  sea  por  la  cantidad  o  magnitud  de infraestructura  escolar  deteriorada,  y/o  por  la  falta  de  capacidades  para realizaresta  tarea.Respecto de  los Servicios  Locales,  esta  asistencia  técnica  ayudaría  a reducir  el riesgo  de  que  las  inequitativas de oportunidades y recursos que afectan a los sostenedores municipales, se instalen también entre los Servicios Locales.Por otrolado, mediante este componente, el Programa podría tomar un rol más activo en el objetivo de mejorar  la  infraestructura  de  los  establecimientos  educacionales,  que  son  o  pronto  serán,  de  su responsabilidad, orientando el financiamiento donde más se requiereEn  este  sentido  es  interesante  la  experiencia  del  Programa  Infraestructura  Portuaria  Pesquera Artesanal, el cual identificaba las necesidades de inversión a través de las Direcciones Regionales de Obras Portuarias, luego priorizaban los proyectos según la metodología multicriterio desarrollada por el MOP. Posteriormente se formulaban y evaluaban los proyectos según la metodología establecida por el  MDSF.  La  Secretaría  Regional  de  Planificación  del  entonces  MIDEPLAN  efectuaba  el  análisis técnico-económicodel proyecto. A continuación, y una vez recomendadoslos proyectos,se elaboran los diseños de ingeniería y arquitectura, para luego, iniciar la ejecución de obras. Es decir, el Programa dirigía  no  solo  el  destino  de  sus  recursos  (identificación,  priorización  y  selección  de  proyectos),  si  no que además asumía las tareas de formulación y tramitación hasta iniciar la ejecución. Este programa logró en 4 años, pasar de un 32% a un 66% la cobertura de los beneficiarios efectivos respecto de la población potencial</t>
  </si>
  <si>
    <t>Focalizar  las  acciones  del  Programa  en  aquellos  establecimientos  que  presentan  más deterioro, en cantidad o gravedad: Para mejorar  la  eficacia del  Programa  en  el  logro  de  sus  objetivos,  se  estima  necesario  incorporar  la focalización  del financiamiento  que  entrega,  en  aquellos  establecimientos  educacionales  con  mayor cantidad o profundidad de deterioro</t>
  </si>
  <si>
    <t>Sistemas de información para control y gestión: Se  recomienda  el  diseño  e  implementación  de  sistemas  de  gestión  de  proyectos,  que  apoyen el monitoreo,  seguimiento  y  evaluación  del  financiamiento  de  proyectos,  incorporando  información  de todas  las  etapas  de  su  desarrollo:  ingreso  del  proyecto  (con  todas  sus  características),  postulación, priorización  y  selección,  convenio  (tramitación,  monitoreo  y  seguimiento,  cierre),  ejecución  física (licitación,  monitoreo  y  seguimiento,  finalización),  evaluación  (indicadores  de  resultados  del  proyecto, tales  como  costos  unitarios,  cumplimiento  de  plazos  máximos  en  etapas  críticas,  sobrecostos,  entre otras posibles). Este  sistema  de  gestión  debiese  ser  la  base  del  flujo  de  información  entre  las  distintas  áreas  y programas de la DEP (para por ejemplo, revisar si hay o no rendiciones pendientes por parte de algún sostenedor). A modo de ejemplo, se sugiere conocer la plataforma subdereenlinea.gov.cl</t>
  </si>
  <si>
    <t>Planificar  las convocatorias  de  cada  año,  en  un  plazo  de  al  menos  dos  años,  y  publicar dicha planificación: Se  recomienda  realizar  una  planificación  plurianual  de convocatorias,  con  un  horizonte  de  al  menos dos  años,  y  darla  a  conocer  a  los  sostenedores  (publicarlay  difundirla).  De  esta  manera,  los sostenedores municipales podrán también construir y operar en base a planes de inversión, programar el  levantamiento  de  la  cartera  de  inversiones  y  su  ejecución  de  acuerdo  a  los  tiempos  que  cada proyecto requiere, disminuyendo las inequitativas disponibilidad de recursos que enfrentan los distintos sostenedores. Por  otro  lado,  se  transparenta  y  disminuye  el  efecto  de  arrastre  presupuestario,  ya  que  permite programar  las convocatorias  de tal manera  que  mediante  proyectos  de conservación  de menor costo se amortigüen los arrastres presupuestarios que implican los proyectos de alto costo</t>
  </si>
  <si>
    <t>Coordinar las distintas fuentes de financiamiento para Infraestructura Escolar Pública: La   recomendación   es   buscar   instancias   de   coordinación   entre   los   diferentes   fondos   públicos disponibles para mejorar infraestructura escolar pública, ya que constituye una oportunidad de mejorar la eficacia, eficiencia y calidad de la inversión pública en este sector. En este sentido resulta interesante el caso del Programa Infraestructura Portuaria Pesquera Artesanal, en cuanto a la coordinación con otras instituciones que invertían en el sector (tales como SERCOTEC, SENCE,   entre   otras,   instituciones   que   presentaban   respuestas   variables   según   región),   la identificación de una buena instancia de coordinación interinstitucional: la participación de la DOP en el Consejo  de  Asignación  Regional  para  el  Fomento  Económico  Productivo  de  la  Pesca  (CAR  Pesca). Esta experiencia seríaaplicable al Programa en evaluación, por ejemplo, formando mesas de trabajo en   conjunto   con   aquellos   fondos   que   aportan   importante   cantidad   de   recursos   a   mejorar   la infraestructura escolar pública, tales como FNDR, de tal manera de coordinar esfuerzos, estandarizar condiciones, y compartir información para la gestión</t>
  </si>
  <si>
    <t>Analizar medidas  de  mitigación  para  las  consecuencias  negativasque  genera  el  desajusteentre el ciclo de proyectos y el ciclo presupuestario: La propuesta consiste en realizar mesas de trabajoparaidentificar posibles medidas a tomar para que: (a)  los  proyectos  de  inversión  en  establecimientos  educacionales  se  ejecuten  durante  el  periodo  de vacaciones, (b) sea posible proyectar las necesidades de recursos yde arrastres presupuestarios, (c) mejorar  la  ejecución  presupuestaria en aquellos proyectos “más grandes”,  que  requieren  desarrollar más etapas de preinversión. Para esto, el rol de la asistencia técnica de la DEPes fundamental</t>
  </si>
  <si>
    <t>https://www.dipres.gob.cl/597/articles-205703_r_ejecutivo_institucional.pdf</t>
  </si>
  <si>
    <t>https://www.dipres.gob.cl/597/articles-205703_informe_final.pdf</t>
  </si>
  <si>
    <t xml:space="preserve"> Set regular de útiles escolares entregado</t>
  </si>
  <si>
    <t>Set diferenciado de útiles escolares entregado</t>
  </si>
  <si>
    <t>beneficio hacia toda la matrícula de establecimientos municipales y subvencionados adheridos a gratuidad</t>
  </si>
  <si>
    <t>El proceso de enseñanza aprendizaje en los distintos ciclos formativos que contempla el sistema escolar se ve afectado por la existencia de inequidades en el acceso a los insumos educativos mínimos</t>
  </si>
  <si>
    <t>se aprecia que los insumos materiales generan condiciones necesarias para  conducir  otros  procesos  más  complejos  en  la  escuela  (retención  estudiantil  y/o abandono  escolar,  mejoramiento  en  indicadores  de  aprobación,  asistencia,  entre  otros)</t>
  </si>
  <si>
    <t>Dado que no existe un diagnóstico formal de la necesidad que da origen al programa, se recomienda realizar este ejercicio conceptual y empírico, identificando la magnitud de  la  necesidad  y  sus  características  cualitativas,  tomando  como  base  la  matriz  de marco lógico construida en la presente evaluación</t>
  </si>
  <si>
    <t>Recomendación 9</t>
  </si>
  <si>
    <t>Recomendación 10</t>
  </si>
  <si>
    <t>Recomendación 11</t>
  </si>
  <si>
    <t>Recomendación 12</t>
  </si>
  <si>
    <t>Recomendación 13</t>
  </si>
  <si>
    <t>Respecto  a  la  pertinencia  de  la  composición  de  los  sets  se  sugiere  considerar  las diversas  propuestas  educativas  del  país,  mediante  la  opinión  de  las  comunidades educativas en forma bianual. La razón de esta recomendación es que la universalidad en  la  entrega del  beneficio no  implica necesariamente  homogeneidad  en  cuanto  a  la necesidad  educativa  de  útiles  escolares.  A  este  respecto,  se  sugiere  al  programa analizar  posibles  aspectos  de  descentralización,  contextualizadas  a  las  necesidades propias de las regiones y sus respectivos territorios</t>
  </si>
  <si>
    <t>Debido  al  riesgo de duplicidad  de  gasto  para  el mismo  objetivo  (Normativa  240/2018respecto a Educación Media Técnico Profesional, componente dos), se recomienda un pronunciamiento jurídico del MINEDUC al respecto</t>
  </si>
  <si>
    <t>Incluir indicadores que midan resultados a nivel de uso y pertinencia de los sets de útiles escolares que provee el programa, de manera de obtener información que le permita al PUE  medir  el  logro  del propósito.  Para  ello  se sugiere  utilizar el  método de  muestreo aleatorio estratificado por nivel educativo y utilizar como base el diseño de la encuesta que  se  elaboró  para  el  estudio  complementario  que  no  pudo  efectuarse  por  la contingencia  sanitaria  nacional.  Se  destaca  favorablemente  a  este  respecto,  que  el proceso de modernización de JUNAEB identifique acciones en esta línea</t>
  </si>
  <si>
    <t>Analizar  la  pertinencia  de  efectuar  licitaciones  bianuales  en  el  componente  2,  de  la forma  que ocurre conel  componente  1, de  manera  de  velar  por  la  oportunidad en  la entrega  del  beneficio,  aspecto  que  presenta  resultados  descendidos  en  el  periodo, siendo uno de los indicadores de menor nivel de productividad. Es importante mencionar que el programa ha indicado al panel que esto efectivamente ocurrirá a partir del año 2021</t>
  </si>
  <si>
    <t>Alinear el componente 2 con las indicaciones de la Resolución Exenta Nº 1827/2018 de JUNAEB  respecto  a  que  el  proceso de  distribución  de  los  sets  de útiles  escolares  se efectúe hasta el 31 de marzo de cada año, o bien explicitar otra periodicidad de entrega acorde   a   la   planificación   pedagógica   de   los   establecimientos   y/o   comunidades educativas, aspecto este último que el programa desconoce</t>
  </si>
  <si>
    <t>Utilizar  un  formato  estándar  para  las  bases  de  datos  que  procesa  el  programa,de manera  de  establecer  uniformidad  en  la  información  y  la  elaboración  de  reportes comparativos entre un año y otro</t>
  </si>
  <si>
    <t>Mejorarlos registros administrativos asociados a las actas de distribución de los sets de libre disposición porparte de las direcciones regionales mediante reportes consolidados en forma anual</t>
  </si>
  <si>
    <t>Realizar un monitoreo de la evolución del gasto correspondiente al Componente 2 del programa, para evaluar sus variaciones y eventual estabilización en el mediano plazo</t>
  </si>
  <si>
    <t>Considerar  en  las  proyecciones  para  los  siguientes  años  de  implementación  del programa:i) la depreciación de los útiles del componente 2 del programa, al momento de  planificar  las  adquisiciones  de  los  siguientes  años.  Los  artículos  en  varias  de  las líneasde este componente son definidos como un aporte de mayor duración a la del año en curso. Por esta razón, algunos van a tender a deteriorarse en el tiempo, lo que hace  necesario  considerar  su  posible  reposición  en  el  mediano  plazo;ii) Estudiar  el comportamiento en el gasto incurridopor los sostenedores y servicios locales en útiles escolares, ya sea del componente uno o dos. Como se indicó, la Ley SEP permite estas compras  y  el  año 2018  se hicieron desembolsos en  ítems  relacionados  conlos útiles escolares. La revisión de este tipo de adquisición,puede ser un insumo de utilidad para la  programación  de  las  compras  de  los  útiles  que  ayuden  a  optimizar  el  uso  de  los recursos, en función de las necesidades educativas de los estudiantes y los propósitos del programa</t>
  </si>
  <si>
    <t>https://www.dipres.gob.cl/597/articles-205702_r_ejecutivo_institucional.pdf</t>
  </si>
  <si>
    <t>https://www.dipres.gob.cl/597/articles-205702_informe_final.pdf</t>
  </si>
  <si>
    <t>Intervención  sociosanitaria  promocional  y  preventiva  para  mantener  y/o  mejorar  la condición funcional</t>
  </si>
  <si>
    <t>Personas adultas mayores</t>
  </si>
  <si>
    <t>Adulto mayor</t>
  </si>
  <si>
    <t>Examen de Medicina Preventiva del Adulto Mayor (EMPAM)vigente y Controles Cardiovasculares</t>
  </si>
  <si>
    <t>Red local para el envejecimiento activo y positivo funcionante u operativa</t>
  </si>
  <si>
    <t>De  acuerdo  a  registros  del  programa,  este  presupuesto  se  compone  únicamente  de  la asignación específica del programa, asignado en el programa presupuestario “Programa de Atención Primaria” del Ministerio de Salud, y ejecutado en los programas presupuestarios correspondientes a cada uno de los servicios de salud</t>
  </si>
  <si>
    <t>Disminución  de  las  capacidades  relacionadas con  el  desempeño  individual  y  social  de  las  personas,  no  necesariamente  asociada  a procesos propios del envejecimiento y a la presencia de comorbilidades (biología), sino al deterioro socio-económico-cultural que se evidencia en la pérdida y/o a la ausencia de un soporte  financiero,  sanitario  y  de  cuidados  que  potencie  el  rol  de  las  personas  mayores como personas activas y partícipes de la sociedad</t>
  </si>
  <si>
    <t>Pérdida  de  sus  capacidades funcionales por  la  presencia  de  condiciones  de  salud-enfermedad  definidas  por  la biología-genética y por las inequidades (diferencias injustas) experimentadas a lo largo del ciclo  vital</t>
  </si>
  <si>
    <t>Recomendación 14</t>
  </si>
  <si>
    <t>Realizar una definición explícita de los criterios que utiliza el programa para definir cuáles y  cuántas  comunas  serán  beneficiadas,tales  como:  vulnerabilidad  socioeconómica, familiar,  biológica,  ruralidad,  etc.  Asimismo,  definir  metas  de  cobertura  a alcanzar  por Servicio de Salud y comunas, según criterio experto</t>
  </si>
  <si>
    <t>Estudiar  la  viabilidad  y  factibilidad  de  escalamiento  del  programa  en  términos  de  su cobertura,     considerando     etapas,     plazos,     presupuestos     involucrados,     arreglos organizacionales  y de  recursos humanos  y, todas  aquellas  variables  políticas,  sociales  y económicas relevantes para su implementación. Esto en concordancia con latendencia de que los programas de salud pública y/o de Atención Primaria adopten una mirada universal, tal como ocurre en la actualidad con el Examen de Medicina Preventivo del Adulto Mayor (EMPAM), vacunación anti influenza, etc</t>
  </si>
  <si>
    <t>Realizar un rediseño del Programa con enfoque de equidad y género en salud utilizando la metodología de “Innov8” para el logro progresivo de la cobertura efectiva, la equidad de género y el derecho a la salud</t>
  </si>
  <si>
    <t>Estudiar la implementación de un periodo de vigencia del componente 1 (puede ser de 2  a  3  años  de  acuerdo  a  criterios  técnicos),  para  aumentar  así  la  cobertura  efectiva  no permitiendo que una persona repita al año siguiente, e incluir en dicho estudio la posibilidad de  implementar  talleres  de  reforzamiento,  quizás  menores  en  cantidad  de  sesiones  y  de menor  duración.  Se  propone  que  el  estudio  sea  realizado  por  expertos/as  y  con  amplia participación  de  los  actores  involucrados,  para  que  sea  estudiada  la  inclusión  de  las variables de rango de edad, sexo, otros determinantes biológicos, determinantes sociales, etc</t>
  </si>
  <si>
    <t>Definir los productos del componente 2,de manera que den cuenta de la conformación de redes comunitarias sociales funcionantes, que permitan darle continuidad a lo logrado en las personas mayores que realizaron el componente 1 y potenciar la promoción de salud a nivel comunitario. También identificar el producto que se desea entregar –por ejemplo, red funcionante, seguimiento de beneficiario intervenido –el medio (servicio a otorgar), por ejemplo,  un  cierto  número  de  reuniones  anuales,  integración  o  generación  de  nuevas organizaciones. Asimismo, incluir algún indicador de resultado vinculado al componente 2,como la tasa de variación de beneficiaros que participan en organizaciones o actividades comunales o medir acuerdos vigentes de trabajo conjunto con Servicios locales</t>
  </si>
  <si>
    <t>Mejorar   sistemas   de   información   para   contar   con   indicadores   de   desempeño desagregados (comunas beneficiarias, tramos de edad; sexo; tipo de egreso, etc.); y con registro rutificado de beneficiarios MASAMAV</t>
  </si>
  <si>
    <t>Realizar  un estudio de  las  cargas  laborales  que  permita  gestionar  adecuadamente  el programa,  especialmente  a  nivel  central,  incluyendo  estrategias  y  eventuales  apoyos adicionales  que  permitan  realizar  un  seguimiento  de  las  iniciativas  en  las  regiones  (SS). Esto, a su vez, permitirá calcular losrecursos involucrados en su ejecución, tanto a nivel central como en los SS</t>
  </si>
  <si>
    <t>Reforzar y formalizar todos mecanismos/actividades de coordinación entre el Programa y los equipos involucrados en la ejecución de los diversos programas de salud, tanto a nivel nacional como local,que trabajan mayoritaria o prioritariamente con personas mayores al interior de la Subsecretaría de Redes Asistenciales y con la Subsecretaría de Salud Pública (reuniones inter programas, inter departamentos, inter divisiones programadas mensuales/ trimestrales/semestrales), que permitan dar mayor integralidad al diseño de las acciones y así llegar de mejor manera a los niveles locales. El área de personas mayores en la División de Atención Primaria (DIVAP) debe asumir el liderazgo en esta función</t>
  </si>
  <si>
    <t>Elaborar y aplicar una encuesta de satisfacción de usuario estandarizada para todos los SS y sus resultados levantados en la plataforma del MINSAL,además de sistematizar las evaluaciones participativas que se realizan</t>
  </si>
  <si>
    <t>Implementar  un  sistema  confiable  de  registro  de  información  financiera  que  permita conocer  la  distribución  de  los  gastos  del  programa  de  forma  desagregada  (idealmente  a nivel de componentes y por naturaleza específica del gasto) y completa (incluyendo gastos de administración y aportes más sustanciales de la institución responsable). Este sistema debiera ser integrado y único para facilitar la toma de decisiones en base a evidencia</t>
  </si>
  <si>
    <t>Los convenios suscritos entre los SS y Municipalidades, así como los establecidos con las   propias   dependencias   SS   debenhomogenizarse   y   estar   itemizado   el   gasto (movilización,   capacitación,   recursos   humanos   y   capacitación).   La   utilidad   de   esta información  está  sujeta  a  la  capacidad  de  establecer  un  mecanismo  de  sistematización estandarizado  de  dicha  información  que  sea  centralizado  y  de  acceso  expedito  (por ejemplo, instalación de una plataforma de planificación y monitoreo web)</t>
  </si>
  <si>
    <t>Implementar  un  sistema  de  reporte  de  gasto  que  permita  tener  una  mejor  visibilidad respecto al uso efectivo de los recursos (y no solo lo planificado en los convenios), tanto en establecimientos de dependencia municipal –que actualmente reportan una única “bolsa” de gasto con cargo al Subtítulo 24-como en establecimientos de dependencia SS</t>
  </si>
  <si>
    <t>Desarrollar  un  sistema  de  valorización  de  la  “canasta”  de  recursos  entregada anualmente a los establecimientos (RRHH, insumos, capacitación y movilización por dupla) de  fácil  seguimiento  y  actualización,  y  que  estandarice  los  criterios  empleados  enel financiamiento de RRHH en los establecimientos de dependencia municipal y de SS</t>
  </si>
  <si>
    <t>Elaborar un  instrumento  que permita  registrar  los  aportes de terceros,  principalmente municipalidades, ya sea en dinero o especies e informada de manera homogénea a nivel central</t>
  </si>
  <si>
    <t>https://www.dipres.gob.cl/597/articles-205701_r_ejecutivo_institucional.pdf</t>
  </si>
  <si>
    <t>https://www.dipres.gob.cl/597/articles-205701_informe_final.pdf</t>
  </si>
  <si>
    <t>El Programa Educativo, consiste en entregar una propuesta pedagógica en coherencia a las Bases Curriculares de la Educación Parvularia (BCEP) y con un proyecto educativo que   desarrollan   las   propias   comunidades   educativas,   según   sus   características particulares,  identidad  e  historia</t>
  </si>
  <si>
    <t>Programa   Alimentario, tiene   por   objetivoproporcionar  alimentación adecuada diariamente a niños  y  niñas en los  establecimientos donde    se    imparte    la    modalidad    convencional,    respondiendo    a    las    últimas recomendaciones  de  energía  FAO/OMS,  a  las  Guías  de  Alimentación  del  Ministerio  de Salud  para  niños  menores  de  6  años  (2016)  y  a  la  ley  20.606  sobre  Composición Nutricional  de  los  Alimentos  y  su  Publicidad,  promoviendo  un desarrollo  y  crecimiento normal  e  influyendo  positivamente  en  sus  procesos  de  aprendizaje</t>
  </si>
  <si>
    <t>Junaeb</t>
  </si>
  <si>
    <t>compra de  servicios  a  proveedores  de  alimentación  a  través  de  licitación  pública  en conjunto con JUNAEB y JUNJI</t>
  </si>
  <si>
    <t>Rendimiento escolar, Junaeb</t>
  </si>
  <si>
    <t>Educación parvularia;Calidad de vida;salud  bucal;Junaeb</t>
  </si>
  <si>
    <t>niños y niñas menores de cinco años que viven en situación de pobreza y vulnerabilidad socioeconómica,  presentan  menos  oportunidades  de  acceso  a  un  servicio  educativo inicial</t>
  </si>
  <si>
    <t>apoya  a  las  familias  que  por  motivos  de  trabajo  o estudio no pueden cuidar de sus hijos e hijas, otorgando cuidado y protección de los niños y niñas después del jardín infantil o sala cuna</t>
  </si>
  <si>
    <t>En  términos  de  diseño,  el  Panel  recomienda  continuar  con  el  Programa,  debido  a  que todavía  es  necesario  seguir  entregando  acceso  a  educación  parvularia  a  las  familias  de los  quintiles  más  pobres  de  la  población  chilena.  El  Panel  considera  como  positivo  el hecho  que  haya  más  de  una  institución  que  entregue  una  oferta  diversa  y  pertinente  de educación inicial</t>
  </si>
  <si>
    <t>El   Panel   considera   que   el   Programa  educativo   por símismo,   cubre   necesidades educativas  de  los  niños  y  niñas,pero  no  logra  cubrir  la  necesidad  de  las  familias  de entregar cuidado y bienestar durante toda una jornada laboral (8:00 hrs –18:00 hrs), por lo que valora positivamente la complementariedad con el Programa de Extensión Horaria. En  este  sentido,  recomienda  que  se  mantenga  en el  tiempo.  Asimismo,  recomienda  que los  profesionales  que  participan  del  Programa  Extensión  Horaria,  sean  siempre  técnicos en educación parvularia</t>
  </si>
  <si>
    <t>En  función  de  los  resultados  obtenidos en el estudio  complementario,  el panel  considera que la Institución debe seguir profundizando en el análisis de las zonas que cuentan con capacidad mayor a la demanda, o donde hay jardines que cuentan con demanda igual a cero,  y  realizar  un  estudio  dinámico  sobre  lo  que  ocurre  con  dichas  familias  en  dichas zonas, y así lograr una mayor precisión en la información para la toma de decisiones</t>
  </si>
  <si>
    <t>Resulta deseable  que,  a  nivel  de  propósito,  la  institución  desarrolle  indicadores  de  otros aspectos de calidad que pudiesen ser estimados y medidos. Algunas de las dimensiones a  considerar  son:  evaluaciones  de  aprendizaje  y  pedagógicas,  vínculo  con  la  familia, seguridad,  salud,  infraestructura,  equidad  e  inclusión,  alimentación  y  salud(Agencia  de Calidad de la Educación, 2015)</t>
  </si>
  <si>
    <t>El  Panel  recomienda  revisar  la  relación  entre  los  distintos  instrumentos  que  se  aplican para monitorear el desempeño y la implementación del programa educativo y el modo en que ellos tributan al Plan Educativo Institucional desarrollado por cada Jardín, en la lógica de  favorecer  una  visión  global  sobre  el  funcionamiento  del  programa.  Por  ejemplo,  el Sistema  de  Fortalecimiento  de  Prácticas  Pedagógicas  propone  dimensiones  que  se cruzan con los indicadores del Instrumento de Seguimiento de Gestión que es necesario revisar,  pensando  en  la  eficiencia  de  los  tiempos  y  recursos  destinados  a  producir mediciones, y el uso que se hace de los resultados</t>
  </si>
  <si>
    <t>Los indicadores revisados que refieren a niveles de apoyo y asesoría territorial y técnica a jardines  resultaron  favorables  en  términos  de  número  y  cobertura.  Sin  embargo,  sería importante medir también el grado en que la asesoría es evaluada satisfactoriamente (en sus  diversos  aspectos)  por  parte  de  los  jardines  y  equipos.  Esto,  requiere  de  algún instrumento cualitativo aplicado en forma externa</t>
  </si>
  <si>
    <t>En  cuanto a  la  implementación  del Modelo de asesorías  técnicas  territoriales,  se  sugiere completar  los  equipos,  y  especificar  en  detalle  los  estándares  de  implementación  del modelo,  estableciendo  contenidos  de  las  visitas,  estándares  de  visita  ajustados  a  las características  de  los  territorios  (dispersión  geográfica  y  número  de  jardines  infantiles)  y otros  puntos  de  referencia  que  permitan  identificar  en  quémedida  y  cuánto  aportan  las asesorías  territoriales  a  la  implementación  de  los  PEI  y  en  definitiva  a  la  calidad  de  la educación  ofrecida  por  el programa.  Asimismo,  considera  necesario  seguir  trabajando para  mejorar  el  indicador  de  participación  de  las  Asesorías,  que  si  bien  es  un  indicador aceptable,  es  importante  para  los  procesos,  que  las  Asesoras  Técnicas,  puedan  cumplir con  todas  las  visitas  que  tienen  establecidas  para  mejorar  el  proceso  que  ha  sido diagnosticado cada año</t>
  </si>
  <si>
    <t>Siendo  el  IEA  un  instrumento  y  proceso  de  relevancia  para  la  evaluación  formativa  y monitoreo de los procesos anuales de aprendizaje de los niños/as en diversos dominios, la  ausencia  de  estandarización  y  la  autoadministración  en  que  se basa  limitan  la  validez de  su  uso  para  estimaciones  de  indicadores  de  propósito.  En  tal  sentido,  en  el  futuro  la existencia  de  una  medición  complementaria  externa  y  estandarizada  (ej.  instrumento aplicado  a  una  muestra  y  pareo  comparativo  con  medición  IEA),  permitiría  contar  con estimaciones más precisas de progresos anuales de aprendizajeindividual de los niños y niñasen los dominios que se evalúan.Esto es particularmente relevante para efectos de medir el  progreso de  cada  niño  e incluso, establecer  perfiles de usuario  más  específicos para  ir  especializando  la  oferta  educativa,  sobre  todo  cuando  niños  y  niñas  en  mayor situación  de  vulnerabilidad  social,  enfrentan  mayores  dificultades  y  obstáculos  para enfrentar  los  procesos  de  aprendizaje.    Cabe  señalar  que  si  bien  el  PLAEP-R  presenta una  medición  de  logro  de  aprendizaje  más  estandarizada,  esta  es  de  carácter  general  y bianual, por lo que no permite realizar análisis en esta línea</t>
  </si>
  <si>
    <t>Desarrollar   mediciones   periódicas   de   satisfacción   de   familias   que   incorporen   la satisfacción  y  evaluación de  calidad  sobre aspectos  y  factores  tales  como:  aprendizajes, cuidado,  infraestructura,  seguridad,  horarios,  equipo  educativo,  materiales  educativos, equipamiento,  participación  y  comunicación.  Asimismo,  incorporar información  evaluativa sobre el componente alimentario respecto a elementos tales como: satisfacción global con la alimentación, satisfacción respecto de requerimientos especiales (dietas, alergias,otras necesidades)</t>
  </si>
  <si>
    <t>Particularmente  en  lo  que  respecta  a  la  participación  de  las  familias,  el  panel  sugiere avanzar  en  la  flexibilización  de  procesos  que  permitan  una  participación  más  activa  y protagónica  en  los  procesos  educativos -de  manera  coherente  con  las  declaraciones institucionales  de  Integra-considerando  además  el  desafío  de  no  sobre  exigir  a  familias vulnerables  que  son  recurrentemente demandadas  por  una  serie de programas  sociales. Esto  requiere  considerar  tanto  las  características  de  los  territorios  en  los  que  se establecen los jardines infantiles, como las características de las propias familias -factor motivacional,  disponibilidad  de  tiempo,  cuidado  familiar,  etc.-por  lo  que  los  equipos territoriales  pueden  adquirir  un  rol  clave  en  el  proceso,  así  como  también  la  información que  puedan  brindar  otros  actores  relevantes  como  las  redes  locales  de  infancia.  Quizás una  posibilidad  es  considerar  la  participación  e  involucramiento  de  la  familia  como  un elemento sustantivo del componente educativo en lamatriz de marco lógico del programa</t>
  </si>
  <si>
    <t>Se  recomienda  establecer  un  Plan  de  contingencia  direccionado  a  la  obtención  de certificación  (Reconocimiento  Oficial),  que  asigne  recursos,  responsabilidades  y  plazos para el adecuado cumplimiento de esta meta</t>
  </si>
  <si>
    <t>Se  recomienda  generar  una  estrategia  de  ampliación  del  servicio  de  modo  que  se  logre coberturas de  la  población objetivo  significativamente  mayores a  las actuales.Si  bien,  el Programa está centrando sus recursos en mantener y mejorar el servicio (asegurando el Reconocimiento  Oficial),  es  necesario  trabajar  en  conjunto  con  JUNJI  para  determinar cómo se seguirá expandiendo la educación inicial en el país</t>
  </si>
  <si>
    <t>En  cuanto  al  componente  nº2,  el  panel  considera  importante  involucrar  en mayor  medida  el  Componente  Alimentario  en  la  lógica  del  Programa,  realizando  un trabajo conjunto con las familias, para potenciar el estado nutricional de los niños y niñas. Considera que los elementos con los que cuenta son débiles en este aspecto, y se podría potenciar  más,  articulando  y  coordinándose  también  con  los  CESFAM  y  organizaciones de la comunidad</t>
  </si>
  <si>
    <t>En  términos  de  participación,  se  sugiereexplicitar  a  través  del  PEI,  además  de las  líneas  de  acción  para  la  participación  de  la  comunidad,  algunos  estándares  de participación  comunitaria  y  gestión  de  redes  que  pudiesen  verse  reforzados  desde  la implementación  del  modelo  de  asesoría  territorial,una  vez  completados  los  equipos territoriales</t>
  </si>
  <si>
    <t>https://www.dipres.gob.cl/597/articles-205707_r_ejecutivo_institucional.pdf</t>
  </si>
  <si>
    <t>https://www.dipres.gob.cl/597/articles-205707_informe_final.pdf</t>
  </si>
  <si>
    <t>Creación  y  producción  de  bienes  y  servicios  artísticos  y culturales  en  las  diversas  disciplinas  artísticas  y  ámbitos culturales</t>
  </si>
  <si>
    <t>Difusión  y  circulación  nacional  e  internacional  de  obras realizadas por agentes culturales en las diversas disciplinas artísticas y ámbitos culturales</t>
  </si>
  <si>
    <t>Formación   y   profesionalización   de   agentes   culturales   y población interesada y/o vinculada a las culturas y las artes en las diversas disciplinas artísticas y ámbitos culturales</t>
  </si>
  <si>
    <t>Investigación y estudios en las diversas disciplinas artísticas y ámbitos culturales</t>
  </si>
  <si>
    <t>Infraestructura   cultural   para   la   investigación,   creación, circulación y/o difusión en las diversas disciplinas artísticas y ámbitos culturales</t>
  </si>
  <si>
    <t>El  Panel  propone  mantener  la  conceptualización  de  provisión  de  los  servicios  del  Fondo ordenados bajo los componentes definidos para la presente evaluación. De modo de 1) ser más  efectivos  en  mantener  en  perspectiva  la  idea  del  Ciclo Cultural  y  2)  simplificar  el número  de  líneas  utilizando  los  componentes  como  el  ordenamiento  principal  para convocatorias y concursos</t>
  </si>
  <si>
    <t>Estudiar la conveniencia de extender la modalidad postulación con trayectoria y sin trayectoria  para  las  líneas/componentes  que  sea  factible,  pertinente  y  costo-eficiente</t>
  </si>
  <si>
    <t>Estudiar  la  eliminación  de  la  Actividad  de  Difusión  obligatoria,  o,  en  su  defecto, permitir el financiamiento con cargo al proyecto, considerando que es una obligación impuesta por la Ley de Presupuestos</t>
  </si>
  <si>
    <t>Aunque se reconoce que este proceso es exhaustivo, contingente e involucra a los actores relevantes. Es opinión del Panel que para su toma de decisiones debe generar información basada en diagnósticos, evaluaciones y estudios de satisfacción para identificar brechas y diagnósticos que guíen las decisiones de política respecto de las bases concursales y el diseño o rediseño de líneas</t>
  </si>
  <si>
    <t>Estudiar -e  implementar  gradualmente  si  es  conveniente-la  fusión  de  los  concursos FONDART Nacional y FONDART Regional, de modo que opere un solo fondo administrado por  las  SEREMIAS,  para  los  componentes  que  sea  factible,  pertinente  y  costo-eficiente. Procurando que dicho fondo cumpla con las siguientes características: 1) Que diferencie entre postulantes con y sin trayectoria. 2) Que cuente con distribución presupuestaria de acuerdo ala demanda por región y que propicie un desarrollo armónico y equitativo entre las regiones</t>
  </si>
  <si>
    <t>La  presente  evaluación  ha  provisto  un  diseño  basado  en  componentes  que  permite sintetizar  los  ámbitos  de acción  del  programa.  Con  base  a  lo  anterior,  se  recomienda estudiar -e implementar gradualmente si es conveniente-la disminución del actual número de líneas y modalidades, con el objeto de simplificar el sistema de postulación y ajustar su modelo  de  distribución  presupuestaria  a  la  estructura  de  componentes,  para  aquellos componentes que sea factible, pertinente y costo-eficiente, procurando que el Fondo opere con  solo  6  líneas  concursales  homologadas  a  los  componentes  diseñados  para  este estudio</t>
  </si>
  <si>
    <t>Estudiar la conveniencia de aumentar la periodicidadde las Convocatorias de Concursos, en vista de las ventajas detectadas en Ventanilla Abierta, para las líneas que sea factible, pertinente y costo-eficiente</t>
  </si>
  <si>
    <t>Es opinión del Panel que se deba permitir el financiamiento de honorarios para la línea de Circulación  Internacional. Cabe  mencionar  que  como  norma  reglamentaria  general,  el reglamento  del  Fondo  permite  a  los  postulantes solicitar  el  financiamiento  de  gastos  en personal.Es  facultad  del  Subsecretario  de  las  Culturas  y  las  Artes  establecer  estas definiciones</t>
  </si>
  <si>
    <t>Estudiar la conveniencia de simplificar las rendiciones financieras, para las líneas que sea factible,  pertinente  y  costo-eficiente.  Por  ejemplo:  “Becas  Chile  Crea”  y  Líneas  de Circulación, cambiando a un enfoque de rendición por uno similar al sistema de ANID (ex –CONICYT). Cabe mencionar que estas exigencias responden a la manera de rendir el gasto público según las instrucciones de las instituciones que por ley tienen esa atribución, (como la Ley de Presupuestos y las indicaciones de Contraloría). Sin embargo, otras instituciones han podido sortear esta dificultad, como la ya mencionada de ANID (ex –Conicyt)</t>
  </si>
  <si>
    <t>Es opinión del Panel que, para aumentar el impacto y la consecución de los objetivos del Programa, es de importancia que el Fondo se vincule con otros fondos y programas afines, de modo de generar mecanismos de gestión y desarrollo programático. El programa debe avanzar hacia la generación de redes de colaboración en el ámbito de la cultura y las artes de manera organizada, sistemática y formal.En especial, se recomienda estudiar en más detalle  la  duplicidad  con  la  Agencia  ANID  (en  los  ámbitos  de  becas  de magister  y doctorado), analizando en detalle las disciplinas, el tipo de estudios y el tipo postulantes de ambos  programas y  generar  acuerdos de  cooperación  que  tiendan  a eliminar/o  explicitar las especificidadesde dicha duplicidad en aquellos tipos de estudios en que sea factible, pertinente y costo-eficiente</t>
  </si>
  <si>
    <t>A la  luz  de  la  recomendación del  Panel de  fusionar  los concursos  FONDART Regional y Nacionalpara los componentes que sea factible, pertinente y costo-eficiente,se propone estudiar y reestructurar la asignación presupuestaria del personal destinado a FONDART, considerando  que  dicha  recomendación  implicaría  aumentar  más  aún  la  gestión  del concurso a nivel regional</t>
  </si>
  <si>
    <t>https://www.dipres.gob.cl/597/articles-205706_r_ejecutivo_institucional.pdf</t>
  </si>
  <si>
    <t>https://www.dipres.gob.cl/597/articles-205706_informe_final.pdf</t>
  </si>
  <si>
    <t>Disponibilidad de oferta de servicios de mediación familiar gratuito y de calidad en todas las jurisdicciones, con competencia en materias de familia</t>
  </si>
  <si>
    <t>La mediación como mecanismo alternativo de resolución de conflictos es una forma de realizar efectivamente el derecho de acceso a la justicia</t>
  </si>
  <si>
    <t>recae sobre el Estado la obligación a asegurar un mecanismo de solución de conflictos interpersonales con eficacia en el cumplimiento de proveer los medios idóneos para dicha solución, el cual, en un sentido amplio, incluye no únicamente el acceso a la tutela judicial efectiva, sino también al establecimiento de vías negociadas de solución de controversias</t>
  </si>
  <si>
    <t>desde la mirada de los derechos civiles y políticos, el acceso a un tribunal se erige como un elemento central de un Estado de Derecho –sobre todo en cuanto  habilita  a  las  personas  en  el  ejercicio  de  otros  derechos-,  pero  un  análisis comprehensivo del tema ha mostrado que éste es un mecanismo insuficiente (y muchas veces ineficiente) para resolver los problemas de fondo de las personas</t>
  </si>
  <si>
    <t>acceso a mecanismos judiciales</t>
  </si>
  <si>
    <t>Se  propone  incorporar  a  nivel  de  propósito  el  siguiente  indicador  sobre  la sustentabilidad de los acuerdos: Sustentabilidad de los acuerdos en el plazo de un año (N° de causas que reingresan por incumplimiento en el año t+1 / N° de causas terminadas con acuerdo total o parcial en el año t) * 100</t>
  </si>
  <si>
    <t>Se  requiere  fortalecer  la  ejecución  del  segundo  componente,  que  resulta fundamental, para el logro de los objetivos del Programa. Se recomienda fortalecer las estrategias de difusión del valor de los procesos de mediación, por parte del Ministerio  de  Justicia  y  Derechos  Humanos,  de  modo  que  se  contribuya  al posicionamiento del Programa y se convoque a un mayor número de personas al proceso</t>
  </si>
  <si>
    <t>Este Panel considera que una forma algo más adecuada de medir la eficacia del componente  2  es  mediante  el  nivel  de  cumplimiento  de  un  plan  de  actividades específico, sin el cual es imposible determinar si éste se produce o no</t>
  </si>
  <si>
    <t xml:space="preserve">Asimismo,  se  sugiere  incorporar  en  la  Encuesta  de  Satisfacción,  una  consulta acerca de cómo obtuvo el encuestado conocimiento del proceso de mediación, lo que podría constituir una fuente de información acerca de si este conocimiento es producto de las acciones de difusión y promoción. Se recomienda incorporar un indicador asociado del siguiente tipo Conocimiento del programa (N°  de  encuestados  en  el  año  t  que  declaran  haber  conocido  el programa y/o la alternativa de mediación familiar a partir de alguna de las acciones de difusión del programa / N° de encuestados en el año t que declaran tener algún conocimiento previo respecto del proceso de mediación familiar) * 100 </t>
  </si>
  <si>
    <t>Se sugiere concebir un marco analítico de evaluación en el que los beneficiarios del Programa sean los propios Tribunales de Familia, en tanto representan ámbitos jurisdiccionales hacia los que en definitiva se dirigen los esfuerzos de cobertura del programa. En este sentido, se podría recoger de manera sistemática la opinión y valoración de los distintos integrantes de los Tribunales de Familia acerca de los procesos de mediación y sus posibilidades de mejora</t>
  </si>
  <si>
    <t>Se recomienda considerar diversas alternativas, aparte del proceso licitatorio, para proveer de mecanismos que incrementen la eficacia y eficiencia del programa. De momento  no  se  ha  implementado  otra  posibilidad  de  atención  distinta  al  de  la modalidad de Centros de Mediación Licitados. Sin embargo, en lugares de muy baja demanda  sería  recomendable  modificar  la  modalidad,  por  ejemplo,  mediante convenios con entidades públicas o privadas que permitieran ofrecer servicios de mediación aprovechando infraestructura y personal existentes, lo que implica una modificación legal</t>
  </si>
  <si>
    <t>A menos que la decisión sea el prestar un servicio universal,  se recomienda revisar y ajustar los criterios de focalización</t>
  </si>
  <si>
    <t>Se  recomienda  realizar  los  ajustes  normativos  requeridos  para  una  adecuada gestión del Registro de Mediadores</t>
  </si>
  <si>
    <t>Dada la mención explícita en los objetivos ministeriales a las condiciones de género y orientación sexual, se recomienda considerar la posibilidad de elaborar algunas iniciativas para avanzar en la materia, con el objeto de asegurar que los beneficiarios pertenecientes a las distintas categorías posibles reciban una atención apropiada y adaptada en lo posible a sus necesidades, alineando las definiciones y mediciones programáticas a lo indicado en el objetivo estratégico ministerial</t>
  </si>
  <si>
    <t>En este mismo ámbito se sugiere realizar un estudio para identificar problemáticas específicas y su abordaje en la mediación familiar</t>
  </si>
  <si>
    <t>Se recomienda examinar y eventualmente redefinir los requerimientos del servicio. Esto es, identificar la posibilidad de reducir algunas de las restricciones actuales (jornadas  e  infraestructura  mínima,  necesidad  de  entregar  servicios  de  modo presencial  vs  online,  traspasar  servicio  de  información  a  otras  instancias  o servicios). En función de ello la pertinencia y suficiencia de los montos máximos establecidos en los procesos licitatorios, velando que sean suficientes para alcanzar los estándares de calidad esperados (de acuerdo a precios de mercado o estudio de costos)</t>
  </si>
  <si>
    <t>https://www.dipres.gob.cl/597/articles-205709_r_ejecutivo_institucional.pdf</t>
  </si>
  <si>
    <t>https://www.dipres.gob.cl/597/articles-205709_informe_final.pdf</t>
  </si>
  <si>
    <t>La cobertura del programa es baja, situación que el programa reconoce y relaciona con factores de baja aceptabilidad y variedad de los productos, la creencia de que se le está quitando la “oportunidad” de retirarlo a otra persona que lo necesite más, y poca difusión del programa</t>
  </si>
  <si>
    <t>Adulto mayor;Alimentación Complementaria</t>
  </si>
  <si>
    <t>no cuentan con una gestión de la información de los beneficiarios que permita identificar quiénes son los beneficiarios que retiran los productos, ni hacer un estudio de comportamiento de los mismos a lo largo del tiempo, o los efectos que tiene el programa sobre éstos</t>
  </si>
  <si>
    <t>los  Programa  Alimentarios  han  tenido  positivos  resultados  en el ámbito de eficiencia, logrando ahorros importantes en los precios de adquisición de los productos, los que incluso muestran reducciones en  el  periodo  evaluado</t>
  </si>
  <si>
    <t>A través del PACAM se distribuyen alimentos fortificados con micronutrientes a personas mayores, en los establecimientos de APS del Sistema Nacional de Servicios de Salud</t>
  </si>
  <si>
    <t>Actualizar   la   Norma   Técnica   y   Manual   de   Procedimientos   de   los   Programas Alimentarios y asegurar su cumplimiento. Lo anterior implica instaurar   formalmente   una   estructura   organizacional   en   3   niveles,   estableciendo  claramente  funciones  de  los  actores  y  mecanismos  de  regulación  y  control  de  cumplimiento  de  éstos.  Es  prioritaria  la  formalización de referentes en todos los Servicios de Salud, con horas dedicadas a los Programas Alimentarios, y velando por que no haya duplicidades con las funciones de los demás actores</t>
  </si>
  <si>
    <t>Comprometer  formalmente  una  fecha  límite  para  el  retiro  de  mermas  históricas, principalmente en Región Metropolitana</t>
  </si>
  <si>
    <t>Crear  y  difundir  protocolos  de  trabajo  de  situaciones  que  siguen pendientes, en lo que respecta a mermas y protocolos ante emergencias sanitarias</t>
  </si>
  <si>
    <t>Dada     la     importante     heterogeneidad     de     condiciones     entre     establecimientos  de  salud,  se  propone  estudiar  el  nivel  de  gasto  administrativo  que  requiere  el  programa  y  cómo  se  financia actualmente. Lo anterior, con miras a evaluar la pertinencia de permitir por glosa el uso de una porción de los recursos de las Transferencias Corrientes de Programas Alimentarios, en gastos de bienes y servicios de  consumo,  para  la  compra  de  material  de  papelería,  formularios,  arriendo    de    computadores    para    uso    exclusivo    de    Programas    Alimentarios  en  establecimientos  de  Atención  Primaria  de  Salud  con  menor disponibilidad de recursos</t>
  </si>
  <si>
    <t>En el marco del proyecto de TICs que se encuentra en curso para la  modernización  de  la  actual  Plataforma  de  la  Autoridad  Sanitaria,  se  propone  evaluar  la  priorización  de  incorporar  a  los  Programas  Alimentarios  en  dicha  plataforma,  de  manera  de  generar  información  sobre individualización de beneficiarios, retiros y control de stock. En caso  de  llevarse  a  cabo  dicha  priorización,  en  base  a  la  información  recopilada,  se  recomienda  realizar  una  caracterización  nacional  de  beneficiarios de los Programas Alimentarios durante el año 2022</t>
  </si>
  <si>
    <t>Se  recomienda  ajustar  el  presupuesto  de  los  Programas  Alimentarios  del año 2021 a la ejecución esperada. Cualquier desviación al respecto debe basarse en un estudio de planificación presupuestaria para los años  2021  a  2024,  basado  en  criterios  pertinentes  de  ejecución  y  una  metodología de estimación de demanda y precios</t>
  </si>
  <si>
    <t>Revisar la planificación centralizada de distribución de los productos, considerando el espacio disponible en las bodegas y desconcentrando las fechas de despacho de los productos</t>
  </si>
  <si>
    <t>De  ser  posible,  se  recomienda  establecer  en  las  bases  administrativas  de las futuras licitaciones los lineamientos de dicha planificación, de manera de traspasar a precios esta mejora de eficiencia</t>
  </si>
  <si>
    <t>Se  recomienda  fortalecer  el  mecanismo  de  seguimiento  de  pago  de  facturas  a  proveedores,  realizar  análisis  periódicos  al  respecto  cuyos  resultados  deben  incorporarse  en  el  Informe  Anual  de  Programas  Alimentarios realizado por el Programa</t>
  </si>
  <si>
    <t>Cuando se planifique realizar modificaciones importantes a las bases técnicas  de  una  licitación  en  particular,  por  ejemplo,  producto  de  una  reformulación de productos, se recomienda tomar en consideración los mayores tiempos que demandará el proceso, y realizar previo a ello una licitación por 24 meses. De esta manera, se reducirá la probabilidad de tener que acudir a tratos directos o renovaciones de licitación, e incluso se podría obtener precios más bajos, por el hecho de garantizarse una compra por mayor período</t>
  </si>
  <si>
    <t>https://www.dipres.gob.cl/597/articles-205710_r_ejecutivo_institucional.pdf</t>
  </si>
  <si>
    <t>https://www.dipres.gob.cl/597/articles-205710_informe_final.pdf</t>
  </si>
  <si>
    <t>vulnerabilidad social</t>
  </si>
  <si>
    <t>Calidad de vida;Recuperación de Barrios;Vulnerabilidad social</t>
  </si>
  <si>
    <t>Educación parvularia;Vulnerabilidad social</t>
  </si>
  <si>
    <t>Vulnerabilidad social</t>
  </si>
  <si>
    <t>dado el promedio de edad e incidencia de enfermedades crónicas, se vislumbra complejización de condiciones de salud, es decir, el aumento del promedio de edad traerá consigo el aumento de enfermedades crónicas en los residentes y, por ende, enfrentará al programa a nuevos problemas</t>
  </si>
  <si>
    <t>Personas con   discapacidad psiquiátrica severa    desarrollan habilidades  básicas  que  les  permiten  integrarse  a  la  vida  en  comunidad</t>
  </si>
  <si>
    <t>Atención en Residencias Protegidas: En donde el criterio de elegibilidad es que la persona, además de la discapacidad psiquiátrica, requiera cuidados especializados de terceros para la vida diaria</t>
  </si>
  <si>
    <t>Hogar protegido: es una instancia residencial alternativa, para personas con discapacidad de causa psíquica que no tienen las habilidades para vivir en forma independiente y no cuentan con el apoyo de sus familias</t>
  </si>
  <si>
    <t>El   programa   requiere   desarrollar   operativa   a   nivel   ministerial.   La   relación entre Minsal, específicamente entre    la  Subsecretaría de  Redes Asistenciales y  los   Servicios de  Salud    debe    ser   más   cercana y  no solo relacionada a contingencias ni traspaso de información. Por ejemplo, se sugiere fijar reuniones anuales, jornadas de capacitación, entre otras</t>
  </si>
  <si>
    <t>El programa debe vincularse de manera directa y concreta con la oferta pública  existente,  de  modo  de  entregar  soluciones  más  integrales  a  la  población beneficiaria</t>
  </si>
  <si>
    <t>El programa debe actualizar normas técnicas, acordes, al menos, al Plan Nacional de Salud Mental vigente</t>
  </si>
  <si>
    <t>El programa debe revisar mecanismos de compra de cupos y organizar administración de   los dispositivos, de   modo    de   asegurar niveles de calidad parejos</t>
  </si>
  <si>
    <t>El programa debe generar mecanismos de monitoreo y aseguramiento de la calidad de la oferta entregada</t>
  </si>
  <si>
    <t>El programa debe solicitar actualización del estudio de canasta a Fonasa, con presupuesto base</t>
  </si>
  <si>
    <t>https://www.dipres.gob.cl/597/articles-205711_r_ejecutivo_institucional.pdf</t>
  </si>
  <si>
    <t>https://www.dipres.gob.cl/597/articles-205711_informe_final.pdf</t>
  </si>
  <si>
    <t>abordar  los  problemas  de  la  población  que  usa  el Transporte  Público  Remunerado  de  Pasajeros  (TPRP) en  la  provincia  de  Santiago  y  las comunas de Puente Alto, y San Bernardo, que se caracteriza por una gran población urbana concentrada, con servicios planificados operados de forma integrada como un solo sistema, bajo la responsabilidad y ejecución del Directorio de Transporte Público Metropolitano (DTPM)</t>
  </si>
  <si>
    <t>abordar  los  problemas  de  la  población que  requiere el Transporte  Público  Remunerado  de  Pasajeros  (TPRP) en todas  las Regionesdel país, excluidas la provincia de Santiago y las comunas de Puente Alto y San Bernardo;que se  caracteriza  por  la  dispersión  geográfica  y  la  diversidad  de  problemas  y  tipo  de  soluciones  o apoyos a desarrollar, lo que amerita diversos tratamientos particulares bajo la responsabilidad de la  División  de  Transporte  Público  Regional  (DTPR)  del  MTT,  que  se  financia  íntegramente  con los  fondos  del Programa Presupuestario 06 de   la  Subsecretaría   de  Transportes,   en evaluación</t>
  </si>
  <si>
    <t>realizar  un  conjunto  de  actividades  que significan apoyos  y  servicios  técnicospara  el desarrollo de  servicios  de  transporte. También  es ejecutado  por  la  DTPRyfinanciado  con  los  fondos  del Programa Presupuestario 06 de  la Subsecretaría</t>
  </si>
  <si>
    <t>Tarifa  subsidiada universal  para  cada  población  definida,  compatible  con  elequilibrio  financiero  del  sistema  y  la capacidad de pagos de poblaciones atendidas (adultos, escolares y tercera edad)</t>
  </si>
  <si>
    <t>problema de  conectividad  (alto  precio  o inexistencia  de  servicio  espontáneo)  en  zonas  aisladas  que  señala la ley  y reglamentos</t>
  </si>
  <si>
    <t>Establecer un  plan  de  desarrollo  del  transporte  público  en  regiones,  que  sea  la base  de  la acción a futuro del Programa. Dicho plan debiera basarse en una metodología estándary con ello definir una ruta de implementación con objetivos, metas, hitos a cumplir y plazos</t>
  </si>
  <si>
    <t>Establecer  un  plan  de  desarrollo  organizacional  de  la  DTPR, alineadocon  el  plan  de desarrollo  de  transporte  regional, y establezca  un  diagnóstico  sobre  la  pertinencia  de  la estructura y dotación actual, identifique brechas y plantee un plan de evolución a mediano y largo plazo, con objetivos, metas, indicadores de gestión organizacional</t>
  </si>
  <si>
    <t>Definir  formalmente  los  objetivos  de  atención  y  la  población a  atender  por  elPrograma. Precisar los conceptos de población potencial, población objetivo y producción del Programa. En  la  medida  que  estos  conceptos  no  estén  formal  y  sistematizadamente  definidos  por  el Programa, se dificulta su desarrollo, pues no se sabe a qué población se está atendiendo ni si se está logrando cumplir los objetivos del Programa</t>
  </si>
  <si>
    <t>Sistematizar e integrar todala información de producción y gestión del programa en un solo sistema,  y  generar  los  mecanismos  de  actualización  permanente  de  dicha  información  a partir   de   su   generación,en   las   unidades   ejecutoras   de   los   diferentes   productos. Simultáneamente,  desarrollar  un  sistema  informático  que  dé  un  soporte  robusto  a  la operación y gestión de la DTPR, y permita hacer eficienteyautomatizar diversas etapas del proceso productivo actual, aún basado en procesamiento manual</t>
  </si>
  <si>
    <t>Sistematizar  la  contención  de  costos  del  Programa,  desarrollando  en  primera  instancia estudios de costos eficientes que permitan contrastar el valor unitario de los subsidios con lo que se podría lograr si los proveedores actuaran en condiciones de mayor competencia</t>
  </si>
  <si>
    <t>Materializar e institucionalizar el uso de indicadores, tanto operacionales, como de gestión y administrativos,  que  permitan  objetivar  la  toma  de  decisiones  y  la  evaluación  de  logros  y resultados, aprovechando los desarrollos de planificación estratégica realizados el año 2018, los avances realizados en el módulo de control de gestión de la formulación presupuestaria, la  reciente  formulación  y  desarrollos  en  la  Matriz  de  Marco  Lógico,  MML,  para  cada componente y otros globales, de gestión de todo el programa en conjunto.Dichos  indicadores  debieran  responder  al  diseño  estratégico  y  plan  de  desarrollo  del transporte en regiones,uniformizandoy sistematizando el reporte de resultados de cada una de las áreas operativas de la DTPR y de cada uno de los productos o servicios que provee</t>
  </si>
  <si>
    <t>Definir  metas de  producción  y de  gestión formales  para  cada componente.  En  la  actualidad cada unidad de la DTPR realiza un conjunto de acciones y actividades de producción, que no son  medibles  en  cuanto  al  logro  de  objetivos  estratégicos  u  operacionales,  que  estén previamente  definidos,  sean  explícitos  y  conocidos, sino  que  se  restringe  a  ejecutar  lo  que resulta factibledentro del marco presupuestario y recursos disponibles</t>
  </si>
  <si>
    <t>Continuar  y  dar  mayor  fuerza  al  aumento  de  la  dotación del  personal  técnico  en  regiones. Este crecimiento debiera ser coherente y basarse en el plan de desarrollo organizacional de la DTPR, indicado como recomendación</t>
  </si>
  <si>
    <t>Realizar  acciones  de  mejora  sustancial  de  los  servicios  en  las  actuales  áreas  Reguladas  y NoReguladas.  Si  bien  la  estrategia  de  desarrollo  actual  en  zonas  urbanas  de  regiones,  es potenciar los Perímetros de Exclusión;no es lógico que las áreas urbanas atendidas por las modalidades Regulada y No regulada deban esperar los largos plazos de implementación de la  modalidad  de  Perímetros  de  Exclusión,para  solo  en  ese  momento,obtener  mejoras operacionales y de calidad de servicio. Sobre todo, considerando que en dichas áreas se hanmantenido  las  modalidades  de  servicio  y  gestión  operacional  existentes  hace  más  de  10 años, previasalinicio  del  Programa,  y  además  considerando que,de  acuerdo  con  los análisis técnicos, no todas las áreas urbanasde regiones pasarán a la nueva modalidad Si bien ello implica probablemente cambios legales y mayor presupuesto, desde un punto de vista de cumplimiento  de  los  objetivos declarados  por el programa,  el  mantenimiento  de  las condiciones actuales no es coherente con dichos objetivos</t>
  </si>
  <si>
    <t>El  Programa  recibe  en  su  presupuesto  los  subsidios  al  transportepúblico  de  pasajeros (permanente,  transitorio   y  especial   adicional),   ley   20.378,  para   la   Red   Metropolitana   de Movilidad,  que  en  2019  alcanzan  a  M$589.480.574 (enmoneda2020)y  se  los  transfiere  a  la Administración   Financiera   de   esta   Red.   También   recibe   todo   el   subsidio   permanente correspondiente al “espejo” regional, que en 2019 alcanza a M$233.665.491 en $2020. La parte del  subsidio  transitorio  y  el  subsidio  especial  adicional  correspondiente  al  “espejo”  regional (M$355.815.085enmoneda 2020) es transferido directamente por el Tesoro Público (Programa 09) al Fondo de Apoyo Regional, FAR. A su vez, el Programa en evaluación, le transfiere parte de  su  presupuesto  anual  al  FAR (M$50.223.956en moneda 2020). Generándose  así  una estructura   presupuestaria   compleja,   con   recursos   asignados   que   se   entregan   para   ser transferidos, sobre los cuales el Programa no tiene capacidad de decisión, ni dacuenta de ellos</t>
  </si>
  <si>
    <t>https://www.dipres.gob.cl/597/articles-205712_r_ejecutivo_institucional.pdf</t>
  </si>
  <si>
    <t>https://www.dipres.gob.cl/597/articles-205712_informe_final.pdf</t>
  </si>
  <si>
    <t>los  segmentos  de  ingresos  medios  (quintiles III y IV de ingreso autónomo) han enfrentado en años recientes un incremento mayor en sus requerimientos habitacionales respecto de los quintiles de menores ingresos, así como también un acceso más restringido a  subsidios  para  transformarse  en  propietarios.  Además,  en  los  últimos  diez años ha aumentado la proporción de hogares de este segmento de ingresos  que  arrienda  su  vivienda,  particularmente  los  que  tienen  jefe  de  hogar extranjero</t>
  </si>
  <si>
    <t>considerando  que  el  objetivo  del  programa  es  transformar  arrendatarios en propietarios. El problema público debiera estar relacionado con  la  dificultad  que  enfrentan  las  familias  de  ingresos  medios  para solucionar su “problema habitacional”, ya sea accediendo a una vivienda en arriendo o en propiedad, y la variable que sí justifica su existencia es el incremento de los requerimientos habitacionales que enfrentan estos segmentos de ingresos, lo cual está respaldado por las últimas mediciones oficiales del déficit habitacional cuantitativo</t>
  </si>
  <si>
    <t>la  entrega del subsidio permitiría el acceso a vivienda, y con ello, haría posible el  cumplimiento  del  propósito  del  programa.  De  todas  formas,  la  entrega  del  subsidio  después  de  aprobada  la  operación  y  de  que  la  familia  pueda  eventualmente estar habitando en la propiedad, puede abrir un espacio de riesgo de no obtención del subsidio, que debe tenerse en cuenta</t>
  </si>
  <si>
    <t>Para los beneficiarios, el Leasing Habitacional es más costoso que una operación de crédito hipotecario en el sistema bancario.  Los  requisitos  para acceder a crédito en las empresas de leasing son menos exigentes que en los bancos, especialmente respecto del monto inicial requerido para ingresar al sistema, y en parte, el mayor riesgo de crédito de ese contrato se  compensa  con  una  tasa  de  interés  más  elevada.  Solo  parece  ser  una  alternativa útil para quienes no son sujeto de crédito en la banca tradicional</t>
  </si>
  <si>
    <t>Puede resultar más conveniente que el arriendo en aquellas zonas donde los valores de arriendo sean muy elevados respecto de su precio de venta, tanto por el monto de pago mensual como por su menor variabilidad (la cuota mensual de leasing se mantiene fija en UF).  En  algunas  áreas  de  las comunas de la región Metropolitana con mayores tasas de rentabilidad anual de las viviendas se aprecia una mayor concentración de beneficiarios de  Leasing  Habitacional  como  de  aplicación  de  subsidios  de  arriendo durante el periodo de análisis, como, por ejemplo, Puente Alto y Maipú</t>
  </si>
  <si>
    <t>No hay diferencias claras respecto de los grupos objetivos a los que apunta cada programa habitacional. En general, es posible observar traslapes en términos de requisitos de vulnerabilidad, edad y tamaño familiar, entre otras exigencias. Esto puede provocar que sea difícil para los postulantes poder elegir el programa que se ajusta mejor a sus necesidades, capacidades de generación de ingresos y ahorro, y/o preferencias</t>
  </si>
  <si>
    <t>Sistematizar  en  la  División  de  Política  Habitacional  (DPH)  la información mensual pago de los subsidios, de manera homogénea y comparable entre cada contrato, a partir de la información provista por los diferentes Servius y las sociedades inmobiliarias20. Debe considerar variables como el monto del contrato, plazo del contrato, tasa de interés, cuota mensual, aporte contado, meses de morosidad, fecha de término del contrato, ingreso de las familias (para calcular carga financiera), otra información socioeconómica de las familias (edad, género, tipo de contrato,  etc.),  para  avanzar  en  su  caracterización  y  comparación  con  los demás programas</t>
  </si>
  <si>
    <t>Implementar mecanismos de seguimiento y realizar análisis anuales a partir de la información generada, analizando cuántos beneficiarios terminan  de  pagar  y  se  convierten  en  propietarios,  cuántos  pierden  su  vivienda por no pago, cuál es la situación de las familias que pierden sus viviendas  (si  eventualmente  posibilidad  de  postular  a  otro  programa),  cuáles  son  las  condiciones  de  las  viviendas  a  través  del  tiempo  (para  identificar necesidades de mejoras), etc</t>
  </si>
  <si>
    <t>Analizar la factibilidad de otorgar el subsidio a los beneficiarios previo a la firma de la promesa de compraventa, para evitar que eventualmente puedan  perderlo  en  el  proceso,  por  cambio  en  sus  condiciones  que  determinen el no cumplimiento de requisitos. De esta manera, se podría contribuir a reducir el riesgo de las inmobiliarias, y con ello, aportar a la disminución de las tasas de interés cobradas por parte de ellos. El inicio del proceso de pago del subsidio debe mantenerse como hasta ahora, y comenzar luego de que esté firmada la promesa de compraventa</t>
  </si>
  <si>
    <t>Evaluar la alternativa de aumentar los cupos de subsidio, considerando paralelamente mecanismos que permitan reducir la tasa de interés. Esto se hace relevante dada la situación de alta demanda que se ha dado estos últimos años y el alto costo final para los beneficiarios</t>
  </si>
  <si>
    <t>Fortalecer  la  integración  de  la  política  habitacional,  ordenando y  coordinando  a  los  diferentes  programas  para  mayor  eficiencia en  el  gasto  público,  evitando  duplicidades  y  promoviendo  la complementariedad,  de  modo  que  constituya  una  guía  clara  para  los  beneficiarios respecto de qué programa es más conveniente para ellos. Debe  considerar  diferencias  en  ingresos,  origen,  edad,  tipo  de  trabajo,  tamaño de los hogares, territoriales, entre otras, que determinan que las  familias  tengan  diferentes  intereses  y  necesidades.  En  virtud  de  lo  anterior,  debe  también  ofrecer  alternativas  de  tenencia  variadas  (arriendo, propiedad, u otras)</t>
  </si>
  <si>
    <t>Analizar  y  evaluar,  considerando  el  costo  financiero  asociado,  si  la modalidad  de  pago  diferido  que  se  utiliza  en  el  programa  Leasing Habitacional pudiese extenderse a otros programas habitacionales. Esto podría permitir beneficiar a una mayor cantidad de personas con una carga financiera para el Estado menor en cada año calendario</t>
  </si>
  <si>
    <t>Rediseñar y/o incorporar nuevos mecanismos de regulación a las tasas de interés cobradas en el sistema de leasing habitacional. Revisar las modificaciones que se pueden realizar al Decreto Supremo N° 120 y buscar disminuir la varianza entre las tasas cobradas, concentrándolas en los niveles más bajos que actualmente se cobran. Además, evaluar alternativas que permitan disminuir tasa de interés de beneficiarios que tengan contrato vigente y estén al día con el pago de cuotas</t>
  </si>
  <si>
    <t>Introducir mayores incentivos al ahorro de los beneficiarios para que aumenten su aporte inicial. Por ejemplo, exigir algún nivel de ahorro para postular, o bien premiar la existencia de ahorro con un monto de subsidio adicional (ya que actualmente no se exige). Con ello, es posible que puedan enfrentar una tasa de interés menor por el crédito contraído con las sociedades inmobiliarias, e incluso, podrían ser sujetos de crédito en la banca y optar a opciones de endeudamiento menos costosas</t>
  </si>
  <si>
    <t>https://www.dipres.gob.cl/597/articles-205713_r_ejecutivo_institucional.pdf</t>
  </si>
  <si>
    <t>https://www.dipres.gob.cl/597/articles-205713_informe_final.pdf</t>
  </si>
  <si>
    <t>Subsidio  de  asistencia  técnica-constructiva,  jurídica  y  social: Subsidio  para financiar los siguientes servicios provistos por las Entidades Patrocinantes externas o por los SERVIU:-Identificación,  gestión  y  organización  de  la  demanda,  elaboración del  proyecto  técnico constructivo con participación de las familias postulantes e ingreso para aprobación por parte de SERVIU, previos a la postulación de proyectos de construcción.-Asesoría jurídica para compra de terrenos, gestión técnica y social del proyecto habitacional, incluyendo  asistencia  para  la  autoconstrucción  en  el  caso  de  DP  y  CSP,  asesoría  para  la recepción finale inscripción de viviendasen el caso de construcción. En el caso de viviendas a adquirir, verificación de la idoneidad técnica y legal de los inmuebles, operación de compraventa e inscripción; y; -Posterior a  la  entrega  de conjuntos  de  viviendas construidas, acompañamiento para  la conformación del nuevobarrio.</t>
  </si>
  <si>
    <t>Subsidios  para  la  adquisición  o  construcción  de  viviendas económicas. Comprende  un  subsidio  baseentre  260  UF  y  550  UF  según  sea  el  tipo  de  vivienda,  ubicacióngeográfica,  características  y  vulnerabilidad  del  grupo  familiar; que  pueden  complementarse  con subsidios  para  costear  localización  del  terreno,  requerimientos  de  la  construcción  y  el  suelo,  por condiciones  familiares  y  capacidad  de  ahorro  y  para  equipamiento  y  espacio  público,  pudiendo los subsidios alcanzar un valor final de 926 UF en el caso de proyectos de construcción y 470 UF en el caso de adquisición de viviendas.Junto a un monto mínimo de ahorro requerido a las familias (de 10 UF o15UFsegún  la  vulnerabilidad),  así  como  de  aportes  adicionales  de  entidades  externas (Municipalidades,  Gobiernos  regionales  u  otros)</t>
  </si>
  <si>
    <t>Fiscalización técnica de la ejecución de obras en proyectos de construcción de vivienda,  a  cargo  de  profesionales  SERVIU  o  vía  personas  naturales  o  jurídicas  contratadas  por SERVIU al efecto. El servicio consiste en la verificación de la ejecución de obras conforme al proyecto ingresado  y  sus  modificaciones aprobadas,  al  permiso  de  edificación  y  a  la  normativa  legal, reglamentaria  y  técnica  vigente.  La  fiscalización  de  obras  contempla  las  labores  de  recepción  del contrato  y  planificación  de  actividades  de  fiscalización  e  inspección  técnica  de  obras,  las  visitas  a terreno  planificadas  para  el  control  de  calidad  y  según  lo  que  plantea  su  reglamente,  información permanente a SERVIU, pruebas y medidas correctivas, y cierre y recepción final de obras</t>
  </si>
  <si>
    <t>objetivoEl FSEV está dirigido a familias que se encuentren preferentemente dentro del 40% más vulnerable de la población nacional, pudiendo incluirse hasta un 30% de familias que se encuentren hasta el 90% del  instrumento  de  caracterización  socioeconómica  (RSH  o  hasta  el  tercer  quintil  de  vulnerabilidad según FPS) en los proyectos colectivos de construcción, siempre y cuando acrediten condiciones de carencia habitacional</t>
  </si>
  <si>
    <t>La cantidad de familias a atenderanualmentese determina en base al presupuesto programático y la capacidad regional de gestionar proyectos habitacionales en el banco de proyectos</t>
  </si>
  <si>
    <t>Aunquela  estructura  de  financiamiento  del FSEV, no contempla  traspaso  formal  desde  otras instituciones, en términos de recursos involucrados en la generación de las soluciones habitacionales existen recursos adicionales provistos para la compra de terrenos y laconstrucción de viviendas, para los  proyectos  de  construcción,  provenientes  de  los  Gobiernos Regionales(GORE), aportes  que no ingresan  al  presupuesto  de  los  SERVIU</t>
  </si>
  <si>
    <t>Recomendación 15</t>
  </si>
  <si>
    <t>Recomendación 16</t>
  </si>
  <si>
    <t>Recomendación 17</t>
  </si>
  <si>
    <t>Definir con precisión, la población objetivo, y reestablecer rol público de detección y agregación de la demanda</t>
  </si>
  <si>
    <t>Diseñar e implementar un  sistema de  evaluación, contemplando  dos mediciones al menos: Línea base que se aplica al momento de la asignación del subsidio y Línea de Salida cuando termina la etapa  de  conformación  del  nuevo  barrio  (CNT  y  MP)  o  pasado  un  año  después  de  la  entrega  la vivienda en las otras modalidades</t>
  </si>
  <si>
    <t>Redefinir el componente de asistencia técnica, identificando los resultados a obtener en la población atendida;   esto   es:   capacidades   adquiridas,   información   manejada,   habilidades   colectivas; competencias   de   autogestión   colectiva,   etc.,   e   incluyendo   mecanismos   de   evaluación   por cumplimiento de estos objetivos, y generar mecanismos de evaluación de éstos</t>
  </si>
  <si>
    <t>En la etapa de organización de la demanda en modalidades de CNT y MP, se recomienda exigir al prestador proporcionar un proceso de formación y empoderamiento social dirigido a las familias, que fortalezcahabilidades  y  conocimientos  para  relacionarse  con  dirigentes,  representantes  de  los grupos de interés y con las empresas</t>
  </si>
  <si>
    <t>Incrementar  la especificidad de las  modalidades  habitacionales del FSEV, dentro  de  la  oferta del MINVU, mediante:  i)  acotar  AVC  a  vivienda  usada,  admitiendo  solo  postulantes con  una vivienda previamente identificada, sea dentro de un catastro o bien,externamente;a condición de que sea factible de adquirir a precios del subsidio; ii)permitir el cambio de región para aquellas familias que así lo soliciten en su postulación; iii) incluir fiscalización del inmueble a cargo de una entidad que adscriba a la ética pública y estándares del FSEV respecto a la vivienda adecuada; iv) independizar del FSEV dos modalidades cuyo tipo de tenencia, procesos de producción, organización y gestión son de naturaleza muy distinta al DSN°49:proyectos de construcción a través de cooperativas y para personas jurídicas de derecho público o privado sin fines de lucro para DS N° 52</t>
  </si>
  <si>
    <t>Fortalecer  la  línea  de  microrradicación,  proporcionando  información  sobre  localización  de  suelos hábiles  y  agregación  de  demanda  para  que  les  resulte  económicamente  atractivo  a  oferentes  de menor tamaño, la atención de esa demanda; y generar alianzas con municipalidades y universidades regionales para el desarrollo de proyectos y detección de la demanda</t>
  </si>
  <si>
    <t>Estudiar  la  factibilidad  de  implementar  una  nueva  modalidad  de  provisión  de  viviendas  o  una adecuación de la modalidad DP, a efectos de reconvertir, rehabilitar y subdividir inmuebles antiguos de amplia superficie en zonas bien localizadas centrales o pericentrales</t>
  </si>
  <si>
    <t>Realizar un estudio de trazabilidad que permita determinar la duración del proceso de obtención de la  vivienda,  medianamente  resuelto  en  el  caso  de  AVC  al  registrarse  la  fecha  en  que  fueron seleccionados,  pero  que  debe  acoplarse  la  primera  postulación  sin  éxito  y  que  en  el  caso  de  las 19modalidades colectivas de construcción, se requiere consignar  las fechas en que se obtuvieron las personalidades jurídicas de los comités de vivienda, pues constituye el punto de partida que el FSEV exige a los postulantes</t>
  </si>
  <si>
    <t>Optimizar   el   sistema   de   información   territorial,   MINVU-Conecta, de   modo   que proporcione información sobre la demanda y la oferta del DS N° 49 en cada región y sus territorios. Incluir en su poblamiento a una red de sostenedores territoriales, de forma tal que se recoja información sobre la trazabilidad  del  proceso desde  su  inicio; permitalas  preferencias sociales tras  la  provisión  de orientación sobre el programa y modalidades ofrecidas por MINVU,eidentifique la disponibilidad de suelo/vivienda usada</t>
  </si>
  <si>
    <t>Territorializar la gestión del FSEV, recuperando la función pública de y detección y agregación de la demanda.  Para  ello,se  propone  componer  una  red  de  colaboración  con  las  municipalidades e instituciones privadas,  cuya  experiencia  en  gestionar  vivienda  social  y  emprender  proyectos  de planificación  urbana,  los  habilitepara  desempeñarse  como  colaboradores  del  Estado  en  la representación de los intereses sociales y de bien público en cada región y sus territorios</t>
  </si>
  <si>
    <t>Definición de resultados intermedios para los componentes programáticos, junto con especificaciónde estándares e indicadores de cobertura ycalidad para medir los resultados intermedios que cada uno de los componentes programáticos promueven según su diseño</t>
  </si>
  <si>
    <t>Clarificación y examen de coherencia de los criterios de selección con la focalización en población objetivo e implementar un implementar un sistema de selección que considere “dos tiempos” en un mismo proceso, que priorice a la población, en primer término, por carencia habitacional; y luego por condiciones de vulnerabilidad por ingreso y del hogar</t>
  </si>
  <si>
    <t>Impulsar la implementación de un banco de suelo y de vivienda usada regionalizado que permitan reducir los costos administrativos que implican el acompañamiento a la búsqueda de viviendas, y reducir los costos finales de viviendas construidas, anticipando la compra, en la línea de lo que se ha propuesto en 2020, a través de la Glosa 11del FSEV</t>
  </si>
  <si>
    <t>Desarrollar  unametodología  estandarizada  para  la  estimación  del  gasto  administrativo del  FSEV para monitorear y controlar el gasto general y regional del programa, considerando: i) gasto de los Subt..21 y 22, del nivel centraly de cada SERVIU, ii) ponderar estos montos totales por la proporción de funcionarios y horas de dedicación a gestiones del FSEVnetamente de producción, iii) imputar como gasto administrativo las ponderaciones de ambos subtítulos.A pesar de que excede el campo de acción del FSEV, es recomendableutilizar la misma metodología de cálculo a nivel ministerial, con el objeto de generar comparabilidad entre los programas</t>
  </si>
  <si>
    <t>Realizar seguimiento a las utilidades y gastos generales declarados por las empresas constructoras y entidades patrocinantes en la gestión de sus contratos. Ello podrá ser considerado y sumado a la estimación  anterior  de  gasto  administrativo  general  del  FSEV,  el  cual  podrá  ser  presentado  por separado</t>
  </si>
  <si>
    <t>Estudiar y monitorear los tiempos de recuperación de los préstamos, y analizar si éstos tuvieron los efectos deseados al momento del diseño de la política, tanto en su dinámica financiera como en los resultados de facilitar la construcción de vivienda.Parte del estudio debiese analizar los costos de oportunidad para MINVU,asociados a estos préstamos</t>
  </si>
  <si>
    <t>Incorporar la gestión de oferta de suelo como nuevo componente en la Matriz Lógica, de manera explícita, al menos para el cuerpo directivo central y regional (SERVIU y SEREMI) del FSEV</t>
  </si>
  <si>
    <t>https://www.dipres.gob.cl/597/articles-205715_r_ejecutivo_institucional.pdf</t>
  </si>
  <si>
    <t>https://www.dipres.gob.cl/597/articles-205715_informe_final.pdf</t>
  </si>
  <si>
    <t>el FIC-R constituye un instrumento de política pública descentralizado, de decisión  del  nivel  regional,  pero  que  debe  implementarse  considerando  los  consensos construidos en el territorio, plasmados en los instrumentos de planificación disponibles, tales como estrategias, políticas y planes</t>
  </si>
  <si>
    <t>La asignación de los recursos de los FIC-R a proyectos, programas o estudios nuevos opera vía  dos  modalidades:  concursos  convocados  por  los  GORE  y  asignación  directa</t>
  </si>
  <si>
    <t>La  aplicación  de  una  u  otra  modalidad  es  de  decisión  de  cada GORE de acuerdo a “la experiencia y los resultados que se vayan obteniendo a partir de ambas modalidades, así como también las implicancias que tiene el financiar instrumentos de aplicación regional versus proyectos específicos</t>
  </si>
  <si>
    <t>respecto  de  los  componentes,  el  análisis  comparativo  de  las  Matrices del Marco Lógico (MML) reveló  que existen   cinco temáticas que   están   presentes   en   la   mayoría   de   ellas:   Capacidades desarrolladas para innovar, Capital humano fortalecido, I+D o I+D+i vinculada, Problemáticas sociales y públicas abordadas (mejoradas o solucionadas) con innovación y Cultura y entorno propicio.</t>
  </si>
  <si>
    <t>Explicitar y diseñar la estrategia de implementación del FIC-R considerando cada uno de los  niveles  que  intervienen  y  la  vinculación  que  existe  entre  ellos,  a  partir  de  lo  que  se establezca en la Ley de Presupuestos del Sector Público, específicamente en laglosa 02, numeral  5.2  de  las  glosas  comunes  para  todos  los  Programas  de  Inversión  de  los Gobiernos Regionales y en el marco de los cambios institucionales incorporados en la Ley 21.074. Por ejemplo, establecer claramente la naturaleza y alcance del FIC-R , definir el rol  y  funciones  de  cada  uno  de  los  niveles  y  su  interrelación,  establecer  el  enfoque  o metodología a aplicar para el diseño del FIC-R de cada una de las regiones que posibilite efectivamente  su  seguimiento  y  evaluación  en  todas  las  dimensiones  del  desempeño, entre otras.  El  diseño de  la  estrategia  comprende  la  formulación  de un  Plan de  Trabajo con su correspondiente Carta Gantt, la asignación de tareas para cada uno de los niveles y los recursos requeridos para su implementación</t>
  </si>
  <si>
    <t>Diseñar  el  FIC-R  de  cada  región,  distinguiendo  los  objetivos  que  persigue  y  sus poblaciones objetivos de manera de identificar los distintos programas que lo componen  y  los  correspondientes  indicadores  de  desempeño  para  el  seguimiento  y  evaluación  de cada una de ellos y del Fondo en su conjunto.  Las MML formuladas en el marco de la presente evaluación constituyen un muy buen punto de partida para el diseño del FIC-R de cada región no sólo en cuanto a sus contenidos sino que también al ejercicio realizado con cada unode los GORE para su formulación.  En cuanto a la metodología a aplicar, considerando  que  el  FIC-R  es  un  fondo  que  financia  diferentes  programas,  resulta pertinente considera el enfoque de las Matrices en Cascada</t>
  </si>
  <si>
    <t>Que  SUBDERE  acelere  la  instalación  en  cada  región  del  ComitéRegional  de  Ciencia, Tecnología e Innovación para el Desarrollo quien, de acuerdo a lo establecido por la Ley 21.074, tiene la responsabilidad, entre otras, de elaborar la Estrategia Regional de Ciencia, Tecnología e Innovación, asícomo las medidas y orientaciones de mediano y largo plazo en  dicho ámbito para el desarrollo  en  la  región. Esto es muy  importante  para  instalar  la institucionalidad vinculada con la promoción de la ciencia, la tecnolocgía y la innovación en  las  regiones  así  como  actualizar  las  ERI’s  que  vencen  durante  el  transcurso  del presente año</t>
  </si>
  <si>
    <t>En  lo  estructural  es  necesario  facilitar  desde  la  SUBDERE  el  traspaso  del  FIC-R  a  la División de  Fomento  e  industria  y  definir  las  responsabilidades al  interior  de  la  División, dando estabilidad legal a las personas que ocupan determinados cargos. Esto termina con la   incertidumbre   al   momento   de   cambio   de   Gobierno   o   de   Intendente   regional. Adicionalmente,  es  necesario  mejorar  la  capacidad  de  los  equipos  humanos  y  la disponibilidad de recursos para que se implementenlas transformaciones que el Fondo. requiere para su óptima operación</t>
  </si>
  <si>
    <t>Desarrollar  una  red  de  trabajo  colaborativo  entre  las  regiones  para  copiar,  adaptar  o construir metodologías o procedimientos y buenas prácticas que mejoren la operación del Fondo. Esta iniciativa debe ser coordinada por la SUDERE de nivel central</t>
  </si>
  <si>
    <t>Se  requiere  elaborar  un  modelo  de  los  procesos -ya  sea  por  modalidad  de  asignación directa o de concurso-que incluya la eliminación de trámitesburocráticos que atrasan la asignación de los recursos FIC</t>
  </si>
  <si>
    <t>Considerando que i) el personal en regiones no necesariamente conoce todos los temas en  que    se  sustentan  las  iniciativas  presentadas,  ii)  debido  a  la  alta  concentración  de iniciativas seleccionadas en algunos ejecutores y iii) que existen iniciativas que abarcan las mismas dimensiones/sectores de una región a otra, se podría recomendar la inclusión de profesionales de regiones vecinas o profesionales destacados en los temas tratados en las iniciativas en el proceso de selección de iniciativas. De esta forma se contribuye al mejoramiento de la calidad de las iniciativas y a la transparencia de los procesos</t>
  </si>
  <si>
    <t>Identificar la/s causa/s que explican la deficiente planificación presupuestaria del FIC-R y adoptar las medidas correctivas. Particularmente, inorporar en la fórmula de distribución regional de los recursos del FIC-R criterios vinculados con el comportamiento tanto de la planificación  como de la ejecuciónpresupuestaria de los años anteriores</t>
  </si>
  <si>
    <t>Registrar   los   aportes   extrapresupuestarios   que   permitan   calcular   la   razón   de apalancamiento  efectiva  del  FIC-R  efectiva.    Compararla  con  el  apalancamiento  de programas similares y, si es el caso, identificar e implementar acciones correctivas</t>
  </si>
  <si>
    <t>Diseñar e implementar un sistema de información presupuestaria y de gastos, a partir de la información generada en los anexos 5 (consolidado nacional y por región) elaborados en  el  marco  de  la  presente  evaluación  para  los  períodos  2016-2020  (antecedentes presupuestarios) y 2016-2019 (antecedentes de gastos). Específicamente, se recomienda tomar como base las metodologías utilizadas en la construcción de los anexos 5 en cuanto, por  ejemplo,  a  la  determinación  del  aporte  institucional  (gastos  en  personal,  gastos  en bienes  y  servicios  de  consumo,  inversiones  devengadas  u  otros  gastos),  del  aporte  de terceros (ya sea de otras instituciones públicas o extrapresupuestarios), de la distribución de  los  gastos  en  administrativos  o  de  producción,  entre  otros.    Con  ello  se  logrará  una homologación  y  perfeccionamiento  de  las  metodologías  utilizadas  por  todos  los  GORE posibilitando  el  contar  con  información  regional  comparable  y  con  información  a  nivel nacional</t>
  </si>
  <si>
    <t>Diseñar una base de datos de iniciativas del FIC-R de cada región tomando como punto de partida la “Base de de Datos de Iniciativas FIC-R-Período 2016-2019” elaborada en el marco de la presente evaluación, que permita el seguimiento y análisis de la ejecución del FIC-R por región y a nivel nacional</t>
  </si>
  <si>
    <t>Diseñar e implementar en todos los GORE un  sistema de seguimiento a nivel de iniciativa que  abarque  todas  las  dimensiones  (técnico,  financiero,  beneficiarios  atendidos  y productos/resultados)con  el  fin  de  monitorear  la  ejecución  del  Fondo  y  levantar  y sistematizar  información  base  para  las  evaluaciones  de  resultados  e  impacto.  Es necesario pasar de un seguimiento financiero -administrativo a uno donde se analice en profundidad la consistencia de las actividades y los resultados y la innovación esperada</t>
  </si>
  <si>
    <t>Articular esfuerzos para definir  con  las  regiones un  modelo  de evaluación  que  posibilite medir  el  desempeño  de  los  FIC-R  que  considere  las dimensiones  de  eficacia,  calidad, eficiencia y economía</t>
  </si>
  <si>
    <t>Para  evaluar  la  calidad  del  Fondo,  identificados  previamente  los  programas  que  lo componen  y  formulados  los  indicadores  de  atributos  como  la  precisión,  oportunidad  y accesibilidad,   se   recomienda   desarrollar   bianualmente  encuestas   de   percepción   y satisfacción</t>
  </si>
  <si>
    <t>Diseñar “procedimientos” para estas evaluaciones para lograr el nivel de interlocución y el panelque  se  exige  y  se  logra  con  los  programas  de  nivel  nacional.  Es  altamente recomendable, por no decir indispensable, que el Panel de Evaluadores no sólo conozca la/s realidad/es regional/es sino que se constituya como Panel en la región. Esto permitirá, demanera efectiva y eficaz, recoger directamente los antecedentes necesarios y observar in   situ   las   capacidades   instaladas,   los  procesos   de   producción,   las   relaciones   y articulaciones existentes en la región, además de la relación directa con la institucionalidad pública regional, dando mayor pertinencia y validez a la evaluación</t>
  </si>
  <si>
    <t>Que las recomendaciones que surjan del análisis evaluativo identifiquen a los actores de nivel regional, local y/o nacional que se encuentran directamente involucrados y que son responsables de su implementación</t>
  </si>
  <si>
    <t>Se  sugiere  avanzar  hacia  la  creación  de  una  Política  Pública  de  Estado  (Política Nacional de Zonas Extremas y/o Reglamento) asegurando así la continuidad de la intervención en zonas extremas, debido a que el logro de la inclusión de estos territorios tiene un carácter más permanente en el tiempo</t>
  </si>
  <si>
    <t>Dado su rol y experiencia, se propone que sea SUBDERE la institución gubernamental que pueda alojar la intervención pública (ya sea PEDZE u otro programa) que apunte a  resolver  la  dificultad  de  estas  zonas  extremas  para  acceder  en  igualdad  de condiciones a recursos de la inversión pública</t>
  </si>
  <si>
    <t>Se propone avanzar en la construcción de una metodología que permita determinar con criterios técnicos qué territorios cumplen con la condición de ser regiones o zonas extremas. En la definición de este marco normativo y metodológico se sugiere que SUBDERE tenga un rol activo, dada su experiencia</t>
  </si>
  <si>
    <t>Para fortalecer la estrategia del programa, se sugiere establecer definiciones sobre aspectos  claves  del  modelo  de  intervención.  Se  recomienda  la  elaboración  de documentos metodológicos y orientaciones técnicas (complementarias al manual de procedimientos) que de manera clara y explícita establezcan el marco básico que permita  la  adecuada  implementación  del  programa,  minimizando  los  riesgos  o dificultades que no permitan alcanzar el propósito. Este marco programático debe ser único y común, y al mismo tiempo, suficientemente flexible para acoger las distintas realidades regionales</t>
  </si>
  <si>
    <t>En el evento de nuevos procesos de formulación de Planes, se sugiere que el diseño considere  la  definición  y  utilización  de  criterios  técnicos  para  la  priorización  de iniciativas. En este contexto se propone que a SUBDERE se le otorgue un rol más activo en este proceso</t>
  </si>
  <si>
    <t>Se sugiere elaborar documentos con orientaciones, procedimientos y una metodología para llevar a cabo los procesos participativos, de tal manera de asegurar y fortalecer la participación ciudadana en futuros procesos de elaboración de Planes regionales. A su vez se sugiere crear instancias y fortalecer la participación también durante el proceso de ejecución de los Planes (rendición de cuentas)</t>
  </si>
  <si>
    <t>Resulta importante que el diseño del programa considere la definición y estimación de plazos realistas requeridos, y acordes al tipo de proyectos, para implementar los Planes (mínimo 6 años21), facilitando con ello que se pueda efectivamente cumplir con los compromisos establecidos</t>
  </si>
  <si>
    <t>Se  plantea  la  necesidad  de  reforzar  el  componente  de  Apoyo  Técnico  y  Gestión Estratégica de Proyectos, permitiendo con ello fortalecer las capacidades de gestión de los GORE. Este es un aspecto decisivo en cuanto a la obtención de resultados positivos de la implementación del programa a nivel regional</t>
  </si>
  <si>
    <t>Continuando en el ámbito del fortalecimiento del componente de Apoyo Técnico, se considera importante reforzar roles y tareas claves de SUBDERE, especialmente en materia  de  coordinación  con  distintos  entes  públicos  (especialmente  región-nivel central), entrega de herramientas de planificación, formulación y gestión de proyectos, financiamiento  y  capacitación  para  que  las  regiones  cuenten  con  capital  humano especializado y apoyo en el proceso de programación y ejecución de los recursos</t>
  </si>
  <si>
    <t>Se recomienda fortalecer la labor de articulación del programa con los sectores a nivel central,  logrando  de  esta  manera  apuntar  al  objetivo  de  disminuir  las  brechas  de equidad.  Para ello una posibilidad de acción es que SUBDERE promueva la creación de instrumentos adecuados que favorezcan la destinación de recursos o el aumento de inversión sectorial en estas zonas</t>
  </si>
  <si>
    <t>Se  sugiere  explicitar  las  condiciones  institucionales  y  el  modelo  de  gestión  que deberían proveer los GOREs para asegurar una debida eficiencia en la implementación de los distintos Planes Especiales de Zonas Extremas en las regiones</t>
  </si>
  <si>
    <t>Se  sugiere  implementar  un  sistema  informático  que  permita  efectuar  monitoreo  y seguimiento  a  la  ejecución  del  programa.  Es  necesario  considerar  el  registro  de información  que  permita  evaluar  de  qué  manera  el  programa  está  logrando efectivamente la inclusión de las zonas extremas en que interviene (cumplimiento del propósito). Al mismo tiempo, es importante definir indicadores claros que permitan analizar: la calidad de los bienes y servicios entregados; los beneficiarios efectivos del programa;  el  avance  en  el  cumplimiento  de  los  Planes;  y  realizar  un  adecuado seguimiento y monitoreo idealmente a información financiera que considere la totalidad de las fuentes de financiamiento del PEDZE</t>
  </si>
  <si>
    <t>Se  recomienda  analizar  en  conjunto  con  DIPRES,  la  manera  de  asegurar  el financiamiento de los proyectos que están actualmente en ejecución para evitar que queden inconclusos. A su vez, se hace necesario establecer, según las posibilidades de financiamiento, plazos acotados y realistas para el término de los proyectos que queden con compromisos financieros posteriores al término del año 2020</t>
  </si>
  <si>
    <t>Se sugiere evaluar el monto de recursos que requiere el componente Apoyo Técnico y Gestión Estratégica de Proyectos, para fortalecer de manera efectiva este ámbito clave de la intervención</t>
  </si>
  <si>
    <t>A partir del sistema de seguimiento, se sugiere incorporar indicadores relacionados con los plazos de ejecución de los proyectos</t>
  </si>
  <si>
    <t>Diseñar  el  Plan  Estratégico  del  Programa  con  ello  instrumentar  la  operatividad,en  lugar  de  la  actual  estrategia  de  masividad,  y  con  ello  definir  los  criterios  de focalización   y   priorización.   Para   la   adecuada   revisión   del   Programa   se recomienda  una  revisión  de  diseño juntoconel  Ministerio  de  Desarrollo  Social. Igualmente,  un  insumoque  podría  ser  útil  para  definir  dicha  estrategia  es  el Estudio  de  Evaluabilidad  de  la  Cartera  del  Programasugerido en el Informe Final el cual podrá describir los patrones de criterios de aprobación actual</t>
  </si>
  <si>
    <t>Incorporar  en  los  procesos  de formulación  de  proyectos  municipales  su vinculación   a   procesos   participativos   con   el   objetode   obtener   la legitimidad   de   las   iniciativas   comunales   ejecutadas.   Se   recomienda incorporar dentro del proceso de diseño de la estrategia del Programa, la reflexiónsobre  el  rol  del  Estado  y  sobre  los  conceptos  absolutos  como: poder,    descentralización,    gobierno    local,    gobernanza,    participación ciudadana,   y   deliberación,   sobre   todo   en   el   contexto   del   PMU.   Se considera   que   los   procesos   de   descentralización   son   necesarios   y urgentes, pero estos deben llevar consigo la desconcentración efectiva del poder,   mayores   capacidades   institucionales   y   administrativas.      Se considera  que  el  PMU  puede  avanzar  hacia  la  distribución  de  recursos  a administraciones  locales  (descentralización  administrativa)  en  el  contexto de  la  autodeterminación  de  cada  comuna.  Y  posibilitar  los  procesos  de Participación  Ciudadana  no  solo  en  el  levantamiento  de  las  necesidades de  la  comunidad,  sino  que  sobre  todo  en  la  validación  de  los  proyectos ejecutados</t>
  </si>
  <si>
    <t>Redireccionar  las  actividades  de  la  Cuenca  del  Carbón  a  un  Programa  de empleo.  El  Componente  Cuenca de  Carbón en  su práctica  se  ha alejado  de  los fines  del  Programa,  además  de  ello,  su  expansión  en  la  captación  de  recursos reales va en detrimento de la eficacia y cobertura del resto de los componentes</t>
  </si>
  <si>
    <t>Seguimiento  y  monitoreo  a  los  proyectos  con  el  objetivo  de  apoyar  la ejecución financiera de los proyectos, (acordea una programación de los pagos y ejecutar el gasto según las etapas del gasto), así como continuar promoviendo la rendición de proyectosen función de sus resultados</t>
  </si>
  <si>
    <t>Invertir   en   capacidades   técnicas   en   la   formulación   de   proyectos   en   las Municipalidades. Esto requiere ser acompañado de procedimientos más finos por parte  del  Programa  para  discriminar  entre  una  mayor  cantidad  de  buenos proyectos, pero  con  una  similar  capacidad  de  financiación de  estos.  Esto último implicaría la necesidad revisar el proceso de postulación abierta en el Sistema de “SUBDERE  en  línea”  para  optimizar  esfuerzos  en  proceso  de  evaluación. Optimización  de  las  capacidades  técnicas  podrían  canalizarse  por  medio  de convenios con instituciones universitarias regionales</t>
  </si>
  <si>
    <t>Incrementar  la  disponibilidad  de  material  de  apoyo  en  el  sitio  web  de  la SUBDERE  y,  por  tanto,  crear  y  fortalecer  instancias  formales  de  capacitación recurriendo a modalidades sincrónicas y asincrónicas de habilitación a distancia</t>
  </si>
  <si>
    <t>Adecuar los procesos administrativos necesarios para impulsar el inicio de la ejecución de los proyectos dentro del año de aprobación y por ende del ciclo presupuestario. Esto implica, realizar programación financiera a nivel de   proyectos   y   consolidada   (compromisos,   devengado   y   pagado)   y flexibilidad  de  traspasos  de  recursos  cuando  se  evidencia  retrasos  en presentación  de  proyectos para  su  elegibilidad,  especialmente  en  el componente Tradicional</t>
  </si>
  <si>
    <t>En  proyectos  que  no  correspondan  a  contextos  de  real  emergencia identificada,  condicionar  nuevos  financiamientos  a  la  completa  rendición de proyectos pendientes</t>
  </si>
  <si>
    <t>Optimizar los procesos administrativos para impulsar la aprobación de proyectos a lo largo de todo el año</t>
  </si>
  <si>
    <t>Realizar el estudio de evaluabilidad de la cartera de proyectos de “SUBDERE en línea” para conocersi los proyectos elegibles financiados y cerrados cumplieron con las condiciones mínimas de información que permita visualizar los fines de la intervención y si coinciden con los objetivos generales del PMU. Las respuestas a  las  preguntas  básicas  de  planificación,  tales  como  ¿Qué  es  lo  que  se  va  a hacer?, ¿Por qué y para qué lo vamos a hacer?, ¿Dónde?, ¿Cómo?, ¿Cuándo?, ¿Cuánto?,  ¿Efectivamente  se  ejecutó?  Adicional  a  estas  preguntas,  se  sugiere que   el  estudio  analicela   naturaleza   de   la   contracción   real   del   gasto  de producción (por proyecto) en el componente Tradicional, así como el destino del financiamiento   por   concepto   de   gastos   en   los   proyectos   para   verificar   si efectivamente   se   están   materializando   obras   o   son   obras   menores   que básicamente financian nomina; la hipótesises que por la limitación del monto de financiamiento  por  proyecto  (M$  60.000  )  los  mismos  tienden  a  ser  obras  de menor  tamaño.  Se  requiere  indagar  por  medio  del  estudio  de  evaluabilidad  la proporción de que estas obras provean nueva infraestructura o seande obras de mantenimiento con una alta proporción de gasto de mano de obra</t>
  </si>
  <si>
    <t>Realizar un estudio con respecto a evaluar la hipótesis de fraccionamiento de las obras   a   nivel   municipal   con   los   recursos   asignados   por   el   Componente Tradicional,  el  estudio  requiere  identificar  si  se  evidencia  un  incrementando  la coparticipación municipal  en  el  financiamiento  de  las  obras. Si  existen  comunas con  capacidad  de  financiamiento,  analizar  la  posibilidad  si  esto  puede  ser  un criterio para priorizar recursos</t>
  </si>
  <si>
    <t>Revisar  el  diseño  del  programa  utilizado  en  su  versión  piloto,  tanto  conceptual  como operativo, previo a cualquier consideración de su escalamiento</t>
  </si>
  <si>
    <t>En  una  perspectiva  de  mediano  y  largo  plazo,  se  sugiere  invertir  esfuerzos  en determinar  y  lograr  consenso  con  las  partes  interesadas  del  SIPS  respecto  de  las dimensiones y trayectorias de la población que presenta el problema de dependencia funcional,  desafío  que  podría  abordase  mediante  un  estudio  específico  en  la  materia respecto de la población potencialypoblación objetivo, y posibles segmentaciones de la población objetivo en vistas construir ofertas programáticas más focalizadas</t>
  </si>
  <si>
    <t>Relacionado  a  lo  anterior,  se  sugiere  incorporar  el  enfoque  de  ciclo  de  vida  en  las actividades   diseñadas   para la PSD, teniendo   en   cuenta   que la   diversidad   de necesidades de los distintos grupos etariosrequiere diferentes aproximaciones para la provisión de servicios</t>
  </si>
  <si>
    <t>Cualquiera  sea  el  número  resultante,  se  considera  que  en  ningún  caso  la  población potencial y objetivo corresponderá a los volúmenes que se identifican en el RSH, sino muy  superiores.  Más  aún,  si  se  reconoce  explícitamente  a  los  cuidadores/as  como beneficiarios del programa, lo cual incrementaría la cobertura explícita del programa</t>
  </si>
  <si>
    <t>A partir de lo anterior, se debe hacer un esfuerzo, metodológico y financiero, por poner a   disposición   de   la   población   beneficiaria   los   servicios  más   adecuados   a   sus necesidades, en lugar de acercar los servicios que en la práctica están disponibles. Una manera   de   ir   abordando   esteaspecto   es   mediante   la  realización   de   estudios especializados, para lo cual el programa (Unidad SNAC) debe contemplar recursos para su implementación que no han estado disponibles en la fase piloto</t>
  </si>
  <si>
    <t>Fortalecer la perspectiva de género en el diseño de actividades dirigidas tanto a PSDF como  a  cuidadores.  Especialmente considerarla  sobrecarga  que  presentan  quienes ejercen el cuidado principal y que está directamente relacionada con la calidad de éste</t>
  </si>
  <si>
    <t>Frente  a la diversidad de  la  población  objetivo,  tambiénresulta  relevante  una  mayor integración  de  cuidados  preventivos  por  sobre  los  paliativos, que  implica  incluir,  al menos, a dependientes leves</t>
  </si>
  <si>
    <t>Se  considera  necesario  que  el  programa  revise  su  estrategia  de  implementación,  y ponga  en  discusión  el  modo  de  implementación  del  enfoque  de  red,  en  términos  de convocar a todos los actores que se identifica debieran participar, en particular incluir el vínculo perdido con el nivel regional y provincial, especificando los roles (gobernanza) que cada uno debe cumplir (intersectorialidad / intrasectorialidad), y que el municipio no tiene capacidad ni facultad para resolver</t>
  </si>
  <si>
    <t>Revisar  elactual mecanismo  de  selección  de  comunas,  basado  en  el Índice  de Selección de Comunas, por considerar que introduce inequidades difíciles de sostener en un contexto de derechos</t>
  </si>
  <si>
    <t>Balancear la necesidad de establecer protocolos y estándares de funcionamiento, pues es necesario establecer pautas operativas estandarizadas, claras y obligatorias, con la reducción de la actual profusión de instrumentos, pues no es razonable contar con más de 90 instrumentos que acumulan una cantidad muy significativa de ítems de registro, y  la  necesidad  del  debido  registro  de  las  actividades  que  financia  el  programa  en  el sistema SNAC</t>
  </si>
  <si>
    <t>Por lo anterior, y porque constituye el medio principal a través del cual la Unidad SNAC puede controlar la ejecución del programa, se sugiere repensar el soporte que otorga el sistema SNAC, en términos de mecanismo de registro del detalle de la operación, y en particular estudiar la posibilidad de digitalización de la operación (“cero papeles”). Al respecto los municipios entrevistados son proclives a tal solución, sin embargo, uno de ellos advierte sobre los riesgos de rechazo por parte de los beneficiarios, en la medida que su percepción sobre el uso de medios digitales sea de falta de atención, de respeto o de consideración en la atención</t>
  </si>
  <si>
    <t>Repensar los términos operativos de los convenios MDSF-municipio, en orden a dotar de instrumentos efectivos que resguarden la oportuna ejecución de las actividades que financian los recursos transferidos a los municipios. No se trata, por ejemplo, de incluir otras   condiciones   administrativas,   como   pagos   parcializados   contra   rendiciones periódicas,  sino,  por  ejemplo,  pensar  en  cláusulas  que  habiliten  al  MDFS  (Unidad SNAC)  a  cambiar  de  unidad  ejecutora  (la  mayoría  radicada  en  los  DIDECO)  a  otra unidad probadamente más ágildentro del mismo municipio, como podría ser algún CRC o CCR</t>
  </si>
  <si>
    <t>Se sugiere que el programa defina ciertos comparadores para sus servicios, de modo tal  que  sea  factible  efectuar  comparaciones  relevantes  en  vistas  a  la  expansión  del sistema, cuyo impulso para el 2020 supera la cobertura realizada en el periodo 2016-2019. Esto podría abordarse como parte de una actualización del estudio de oferta de la fase de preinversión del programa, para establecer si, por ejemplo, el costo unitario actual  de  elaboración  de  un  plan  de  cuidados  corresponde  al  promedio  o  a  la  cota mínima calculada en esta evaluación, o del costo de los servicios especializados más recurrentes (terapias ocupacionales, podología, etc.)</t>
  </si>
  <si>
    <t>Desde  una  perspectiva  más  sistémica,  si  se consideran  los  cuidados  desde  una perspectiva  de  seguridad  social,  el  financiamiento  del  sistema  podría  considerar métodos como los usados por otros componentes de la seguridad social, a través de la implementación de un seguro social financiado a través de contribuciones obligatorias, como  ha  ido  implementando  algunos  países  en  las  últimas  décadas.69En  cualquier caso,  se  requiere  avanzar  hacia  un  sistema  que  permita  una  mayor  cobertura  y sostenibilidad   financiera,   mediante   la   alineación   de   selección   de   beneficiarios, beneficios y estrategia de financiamiento</t>
  </si>
  <si>
    <t>Se sugiere que el programa complete el cálculo de la matriz de evaluación, y establezca metas tentativas, que permitan establecer juicios apropiados sobre todos los niveles de resultados</t>
  </si>
  <si>
    <t>Elaborar un diagnóstico claro que identifique los fallos de mercado que el programa pretende resolver y diseñar un instrumento que responda adecuadamente a ese diagnóstico. Esteinstrumento podría ser complementario a la bonificación entregada, la cual debiera ser revisada en sus montos máximos</t>
  </si>
  <si>
    <t>Ante  una  eventual  nueva  modificación  de  la  Ley  de  Riego,  considerar  la  incorporación  de  la  prórroga automática  y  la  ampliación  a  un  monto  mayor  a  las  400  UF  para  los  proyectos  de  la  pequeña agricultura,  debido  a  que  el  costo  promedio  de  un  proyecto  de  este  estrato  es  de  $25.000.000  en promedio,  el  que  abarca  las  obras  de  tecnificación  y  la  instalación  de  energías  renovables  no convencionales para el funcionamiento de los instrumentos de extracción del agua</t>
  </si>
  <si>
    <t>Seguir  avanzando  en  la  satisfacción  de  la  demanda  levantada  periódicamente  por  la  CNR  a  nivel territorial,  considerando  también,  la  disminución  de  las  barreras  de  acceso  en  el  diseño  de  los instrumentos, con el fin de cubrir todos los grupos de interés de la Ley, especialmentede aquellos con mayor  vulnerabilidad,  como  lo  son,  por  ejemplo,  la  pequeña  agricultura,  etnias,  género,  entre  otros, segmentos  donde  la  implementación  de  una  obra  de  riego  genera  un  cambio  en  su  bienestar  y  un cambio en sus condiciones de vida, avanzando en el ámbito social y económico. Para ello, se debiera considerar mantener o crear nuevos llamados a concurso</t>
  </si>
  <si>
    <t>Analizar  la  estrategia  de  eliminar  las  barreras  de  entrada  a  nuevos  consultores,  incentivando  nuevas incorporaciones de profesionales, capacitando en la presentación de proyectos. En este mismo sentido, Incentivar  la  participación  de  una  mayor  cantidad  de  mujeres  profesionales  en  la  Red  de  Consultores vigente, mediante la implementación de talleres y capacitaciones de formulación de proyectos paraser presentados en el marco de la Ley de Riego</t>
  </si>
  <si>
    <t>En  el  proceso  de  evaluación  de  consultores  considerar  otras  variables  como  la  calificación  del beneficiario o el aumento de la ponderación de acompañamiento y/o seguimiento de proyectos, con el fin que exista mayor incentivo en que estos agentes, no sólo sean buenos presentadores de proyectos, sino que también, sean excelentes acompañadores e implementadores de obras de riego</t>
  </si>
  <si>
    <t>Continuar  con  las  capacitaciones  a  los  consultores  que  requieren  de  asistencia  técnica  para  postular postular proyectos para evitar concentraciones en el mercado que no contribuyen a la existencia de una mayor  competencia</t>
  </si>
  <si>
    <t>El diseño de indicadores desagregadas por género y que visibilicen resultados, para poder realizar un correcto diagnóstico de lo que sucede a nivel de las organizaciones, con el fin de implementar acciones que  incentiven  la  participación  de  agricultoras  en  esas  agrupaciones  y  luego,  poder  medir  los resultados de las intervenciones aplicadas</t>
  </si>
  <si>
    <t>Ampliar las acciones deimplementación de concursos para grupos protegidos hacia mujeres de otros estratos  distintos  a  la  pequeña  agricultura,  especialmente  a  la  de  pequeña  empresaria  agrícola  para ampliar su participación en la Ley de Riego</t>
  </si>
  <si>
    <t>Seguir priorizando en la bonificación de obras de tecnificación de riego que conduzcan al uso eficiente del escaso recurso hídrico con que se cuenta actualmente a lo largo del territorio</t>
  </si>
  <si>
    <t>Organizacionalmente  es  importante  incorporar  a  la  institución  a  los  funcionarios  que,  si  bien  trabajanpara  la  Ley,  no  son  trabajadores  directos  de  la  CNR.  Los  encargados  de  riego  trabajan  para  el programa siendo dependientes de las SEREMIAS de Agricultura, ellos podrían mantener su posición en la organización del programa pues apoyan con la identificaciónde las necesidades de los productores, pero los inspectores de las obras (inspectores de la DOH) cumplen funciones directas del programa y no dependen de éste; dado que tienen una función muy importante en la gestión de las obras, debiesen pasar a ser funcionarios directos de la CNR</t>
  </si>
  <si>
    <t>Dada  la  importancia  del  rol  que  cumple  la  DOH  en  la  implementación  de  la  Ley  de  Riego,  se recomienda  entrar  en  conversaciones  con  esta  Institución  para  mejorar  la  gestión  administrativa  del convenio, la ejecución del mismo y las condiciones de los inspectores de obras de este servicio, para hacer más eficiente su apoyo, específicamente se sugiere los siguientes: (a) gestionar con antelación la suscripción  del  convenio  anual  entre  las  partes,  considerando  el  tiempo  involucrado desde  la suscripción  hasta  la  toma  de  razón  por  parte  de  Contraloría  y  la  transferencia  de  los  recursos,  con  el propósito de darle continuidad al sistema de la Ley de Riego y (b) considerar recursos de continuidad en el convenio que se suscriba en el año, que se puedan comprometer al año siguiente, con el fin de asegurar  la  continuidad  del  programa.  Por  parte  de  la  DOH,  se  recomienda  seguir  avanzando  en  el mejoramiento de las condiciones laborales de los inspectores de obra en términos de la pertenencia a la  institución,  su  responsabilidad  administrativa  y  homologación  de  sueldos  a  los  establecidos  en  la DOH para su recurso humano</t>
  </si>
  <si>
    <t>En la operación del convenio suscrito con el SAG, se recomiendanalgunas mejoras (1) avanzar en la digitalización del proceso, especialmente en la emisión del acta de inspección, donde dicho documento quede disponible la plataforma SEP, (2) en el mismo proceso de inspección, verificar la importancia de la existencia o no del cartel. Este punto se debiera evaluar en la eventual nueva modificación de la Ley. Esta recomendación se basa en que una de las funciones de este cartel era la localización de la obra, situación que actualmente no se justifica dada la georreferenciación de los proyectos. La otra razón era dar a conocer a la comunidad el rol subsidiario del Estado, el que actualmente puede ser realizado por otras  vías  de  comunicación  social.  Y  (3)  observar  mejoras  en  la  calidad  jurídica  de  los  profesionales contratados en el marco de este convenio, dado que al ser contratados a honorarios, en inspecciones con situaciones de no operatividad de una obra, dichos profesionales no están habilitados para declarar esta no operatividad, razón por la cual, un inspector SAG a contrata o de planta, externo al convenio, debe  volver  a  visitar la  obra  en  cuestión  para  emitir  el  acta  de  no  operatividad  de  la  obra.  Dicha situación genera un costo adicional en tiempo de recursos humanos, de viáticos y de traslados hacia el lugar de inspección</t>
  </si>
  <si>
    <t>En  el  marco  de  convenio  cooperación  y  de  transferenciasuscrito  con INDAP,  realizar  un  seguimiento más  acucioso  de  los  resultados  que  se  alcanzan  con  esta  colaboración  en  términos  de  números  de usuarios   que   acceden   al   financiamiento   de   los   estudios   de   riego,   número   de   usuarios/as   y organizaciones  de  INDAP  (integrantes  desglosados  por  sexo  y  etnias),  que  acceden  al  crédito  de enlace  de  prefinanciamiento  de  la  bonificación,  superficie  bonificada  por  región  y  comunas,  ejecución presupuestaria trimestral del fondo</t>
  </si>
  <si>
    <t>Analizar qué hitos del proceso de acreditaciónpuede ajustarse, para la maximización en la utilización de los recursos digitales del sistema</t>
  </si>
  <si>
    <t>Levantar  información  dentro  del  SEP,  sobre  variables  de  medición  relacionadas  con  la  productividad inicial  y  final  del  cultivo,  si  hay  un  cambio  tecnológico  en  el  sistema  productivo  en  lo  que  se  refiere  a especie  cultivada,  información  de  estimación  de  ingreso  por  Ha,  entre  otros,  para  facilitar  una evaluación de impacto de la Ley de Riego y sus componentes, donde la información base de referencia como  la  de  los  precios para  realizar  cálculos  de  ingreso  y  costos se  podrían  obtener  en  la  Oficina  de Estudios y Políticas Agrarias -ODEPA, repartición del mismo Ministerio de Agricultura</t>
  </si>
  <si>
    <t>Para el cálculo de indicadores de eficiencia, se recomienda llevar un sistema de gestión que considere como costo total de producción del programa las bonificaciones y el costo de su gestión, pues ambas cuentas  generan  dicho  costo.  Las  magnitudes  de  los  tipos  de  obras  (civiles,  drenaje  y  tecnificación) presentan diferentes costos, por eso es importante manejar cuentas diferenciadas por obra asíevaluar la eficiencia de cada una para la toma de decisiones y evaluar la eficiencia del programa</t>
  </si>
  <si>
    <t>Un  proyecto  puede  durar  más  de  un  año,  por  lo  que sus  costos  no  pueden  estar  asociados directamente  al  presupuesto  disponible  en  el  año  de  su  adjudicación.  El  sistema  que  se  recomienda debe  levantar  información  del  costo  de  producción  y  de  administración  generado  por  el  proyecto  en cada uno de los años que duro su ejecución hasta la recepción de las obras y pago del bono</t>
  </si>
  <si>
    <t>Efectuar  un  rediseño  completo  y  sustancial  del  Programa, que  considere,  entre  otras,  laexperiencia delPrograma Cuidado con el Perro!(relación directa del PTRAC con GOREs, y éstos con municipios y grandes compras)</t>
  </si>
  <si>
    <t>Destinar recursos, fondos y profesionales, para realizar una planificación estratégica que, a partir de la problemática y objetivos identificados en esta evaluación, le permita desarrollar y completar  los  procesos  de  trabajo,  adaptar  los  instrumentos  que  regulan  la  postulación, evaluación, asignación, ejecución y seguimiento de proyectos, y definir una mejor estructura organizacional</t>
  </si>
  <si>
    <t>Elaborar  diagnósticos  del  problema  de  laconvivencia  humano-animal  de  compañía,  que considere  el  conocimiento  existente  a  nivel  nacional  e  internacional,  en  ámbitos  como,  por ejemplo,  tenencia  responsable,  maltrato  animal,  control  de  población  de  caninos  y  felinos, diseño  de  política  pública  en este  tema,  entre  otros,  y que  permitanla  definición  de prioridades y métodos de control a nivel territorial (barrios-comuna; comuna-comuna)</t>
  </si>
  <si>
    <t>Reconfigurar  los  servicios  que  el  programa  provee.  En  particular,  dejar  de  financiar  los servicios  de  participación  (diálogos  participativos)  y  educación  en  el  formato  actual,  para considerar una integración distinta con actividades que los municipios realizan, en el primer caso  en  el  contexto  de  la  actualización  de  instrumentos  de  planificación  local  (PLADECO, planes  reguladores),  y  en  el  segundo  caso  en  el  contexto  de  las  tareas  de  educación  que llevan  a  cabo  los  DEM.  Esta  recomendación  obedece  en  buena  medida  a  que  ambas actividades requieren una escala que no se condice con el rango de recursos habilitado ($1 millón)</t>
  </si>
  <si>
    <t>Definir y aplicar criterios de focalización para servicios de esterilización:i)Aplicar  los  criterios  de  focalización  definidos  para  las  campañas  de  esterilización masiva  de  animales  de  compañía  (Art.35  Decreto  1007/2018),  documentando  sus resultadosii)Definir   y   aplicar   criterios   de   focalización   complementarios   que   apunten   a:   i) Esterilizar  población  animal  a  edad  temprana  (entre  los  2  y  7  meses  de  edad),  y prioritariamente hembras.iii)Priorizar  territorios  según  el  número  de  animales  de  compañía  abandonadoso callejeros  identificados  con  mediciones  elaboradas  de  acuerdo  con  estándares metodológicos internacionales</t>
  </si>
  <si>
    <t>Definir   y   aplicar criterios   de   focalización   para   servicios   de   educación   en   tenencia responsable: i) Distinguir acciones educación, que suponen acciones formativas de mediano a largo plazo,  de  acciones  de  capacitación,  que  suponen  el  entrenamiento  de  perfiles determinados (funcionarios municipales, jueces de policía local, policía uniformada, miembros   de   organizaciones   de   la   sociedad   civil,   etc.)   paradesempeñar determinadas funciones. ii) Definir  y  aplicar  criterios  para  la  educación  en  tenencia  responsable,  que  focalice principalmente en padres / madres y niños de educación inicial y/o básica (es decir, 4 a 8 años)</t>
  </si>
  <si>
    <t>Evaluar   un   nuevo   modelo   de vinculación   con   municipios   que,   bajo   la   lógica   de profundización  de  la  descentralización,  le  permita  enfocarse  en  materias  sustantivas, estratégicas, y dejando de lado labores esencialmente operativas. Una alternativa a estudiar es que el programa pase a depender de la División de Desarrollo Regional, para tener como contraparte  directa  a  los  Gobiernos  Regionales,  y  a  través  de  éstos  vincularse  con  los actores  del  nivel  local,  municipios  y  PJSFL  promotoras  de  la  tenencia  responsable.  Este modelo  también  debiera  considerar  una  relación  más  estratégica  con  las  PJSFL,  de  modo tal de construir una plataforma de ejecutores calificados, de apoyo o ejecución directa, a las funciones del municipio en tenencia responsable.</t>
  </si>
  <si>
    <t>Desarrollar un plan estratégico de comunicaciones, reconociendo que en el caso del PTRAC el objetivo primario es producir un cambio de comportamiento individual, y por lo tanto los mensajes  y  soportes  comunicacionales  deben  ser  consistentes  con:  i) influir  en  las creencias y el conocimiento sobre un determinado comportamiento y sus consecuencias; ii) afectar las actitudes  en  apoyo  del  comportamiento deseado y  persuadirpara  el  cambio (levantar mitos, reducir la ignorancia, etc.); iii) afectarlas normas sociales percibidas sobre la aceptabilidad deun comportamiento entre pares; iv)  afectar (reducir) las intenciones de realizar  el  comportamientono  deseado.Esto  requiere,  además, segmentar  la  audiencia objetivo acorde la población cuyo comportamiento se pretende modificar</t>
  </si>
  <si>
    <t>Mejorar  la  capacidad  delPrograma  para  capturar,  validar  y  sistematizar  la  información necesaria y suficiente para la construcción de indicadores, especialmente en lo relativo a la medición de resultados intermedios, asignando recursos para esta función</t>
  </si>
  <si>
    <t>Implementar mediciones de resultados de las intervenciones de esterilización focalizadas en las  comunas  y/o  territorios  que  presenten  mayores  problemas.  Previamente,  esto  implica elaborar  diagnósticos  que  permitan  identificar  los  territorios  que  serán  prioritarios  en  cada comuna,definir  los  flujos  de  población  de  animales  de  compañía,  definir  metodologías  de medición  y  luego  de  esto,  asignar recursos  para  las  intervenciones  de  esterilizaciones  que sean focalizadas y sistemáticas, es decir, reiteradas en el tiempo, en un mismo territorio, por ejemplo, durante 3 o 4 años seguidos</t>
  </si>
  <si>
    <t>Finalmente,  se  recomienda  que  en  el  caso  específico  del  Diplomado  se  realice  una evaluación  que  permita establecer qué  problema  real  está  atendiendo, si  corresponde  a  la mejor  alternativa  de  solución,  y en  función  de  los  resultados  de  la  evaluación,  decidir  su curso futuro</t>
  </si>
  <si>
    <t>Definir,   a   partir   del   diseño   conceptual   completo,   los   procesos,   sistemas,   estructura organizacional  más  adecuada  para  el  PTRAC,  y  recursos  institucionales  que  le  permitan estar al tanto de las mejores prácticas en los ámbitos de acción del Programa</t>
  </si>
  <si>
    <t>Desarrollar sistemas de información que vinculen información de los registros nacionales, la operación de los proyectos, y produzca información valiosa para la difusión del conocimiento y mejores prácticas en TRAC</t>
  </si>
  <si>
    <t>Operacionalizar los criterios de focalizacióndefinidos, de modo que la labor de los Asesores Regionales,  particularmente  cuando  son  consultados  por  los  municipios,  tenga  un  hilo conductor común y no se resuelva a criterio de cada profesional</t>
  </si>
  <si>
    <t>Establecer nueva forma de relación con PJSFL promotoras de TRAC, que sobre la base de una estrategia comunal en tenencia responsable complemente las acciones que emprenda cada municipio</t>
  </si>
  <si>
    <t>Lo anterior implica redefinir la modalidad de trabajo directa con municipios, hacia una donde el  PTRAC  se  relacione  con  Gobiernos  Regionales,  establezca  estrategias  de  trabajo  que integren las intervenciones del nivel local, potenciando y apalancando recursos nacionales-regionales-municipales</t>
  </si>
  <si>
    <t>Recomendación 18</t>
  </si>
  <si>
    <t>Recomendación 19</t>
  </si>
  <si>
    <t>Recomendación 20</t>
  </si>
  <si>
    <t>Se recomienda que el Programa revise el mecanismo de producción de sus componentes, especialmente  el Componente  1,  para  asegurar  el  uso  más  eficiente  de  los  recursos.  Una alternativa  es  considera  un  sistema  como  el  adoptado  por  el  programa Cuidado  con  el Perro!,  en  el  que  se  establecen  convenios  de  colaboración  entre  los  Municipios  y  los Gobiernos  regionales,  permitiendo  acceder  a  precios  preferenciales  en  la  compra  de insumos y entrega de servicios</t>
  </si>
  <si>
    <t>Se recomienda definir una metodología estándar de costeo de los recursos empleados tanto en  nivel  central  como  en  los  municipios  en  el  país  que  permita  asignar,  entre  otros elementos, las horas de RRHH asociadas a la producción y administración del programa de manera  confiable.  Se  recomienda  emplear  técnicas  del  tipo  ABC  costing,  que  permite determinar el valor de producción de las actividades de una organización, programa u otro, en base al uso efectivo de recursos bajo una medida común (por ejemplo, horas de trabajo dedicadas a cada actividad)</t>
  </si>
  <si>
    <t>Asimismo, para distinguir entre gastos de producción y administración utilizando el enfoque anterior,  es  necesario  construir  una  matriz  con  un  conjunto  de  actividades  tipo,  que estandarice  la  forma  como  éstas  son  categorizadas(por  ejemplo,  horas  dedicadas  a  la entrega de servicios de esterilización o bien las horas dedicadas a resolver dudas técnicas durante  la  postulación  de  proyectos  o  en  el  seguimiento  posterior  son  consideradas  como actividad productiva, y horasdedicadas a la actualización de la plataforma ptrac son horas administrativas)</t>
  </si>
  <si>
    <t>Considerar  la  experiencia  del  programa  Cuidado  con  el  Perropara  incorporar mejoras que apuntan a mayor eficiencia en el uso de los recursos: por ejemplo, establecerconvenios de colaboración  entre  GORE  y  Municipios,  sobre  la  base  de  un  plan  a  mediano  plazo,  y entregarrecursos anuales en función del avance efectivo</t>
  </si>
  <si>
    <t>https://www.dipres.gob.cl/597/articles-189315_r_ejecutivo_institucional.pdf</t>
  </si>
  <si>
    <t>https://www.dipres.gob.cl/597/articles-189315_informe_final.pdf</t>
  </si>
  <si>
    <t>https://www.dipres.gob.cl/597/articles-187244_r_ejecutivo_institucional.pdf</t>
  </si>
  <si>
    <t>https://www.dipres.gob.cl/597/articles-187244_informe_final.pdf</t>
  </si>
  <si>
    <t>proteger  y  mejorar  los  recursos  productivos  y  recursos naturales renovables del ámbito silvoagropecuario del país</t>
  </si>
  <si>
    <t>acrecentar la condición fito y zoosanitaria de los recursos silvoagropecuario del país</t>
  </si>
  <si>
    <t>autoridad fito y zoosanitaria capaz de apoyar la apertura y mantención de mercados</t>
  </si>
  <si>
    <t>lograr mantener un alto nivel de calidad en la entrega de servicios</t>
  </si>
  <si>
    <t>Normativa  sobre protección   de   los   recursos   naturales   renovables   aplicada   e   información   territorial actualizada</t>
  </si>
  <si>
    <t>https://www.dipres.gob.cl/597/articles-163134_r_ejecutivo_institucional.pdf</t>
  </si>
  <si>
    <t>https://www.dipres.gob.cl/597/articles-163134_informe_final.pdf</t>
  </si>
  <si>
    <t>https://www.dipres.gob.cl/597/articles-163134_seguimiento_compromisos.pdf</t>
  </si>
  <si>
    <t>ubicados entre la primera y sexta región (incluida la XV)</t>
  </si>
  <si>
    <t>Productores de la pequeña minería, metálica y no metálica, ubicados entre la primera y sexta región (incluida la XV), con una producción igual o menor a 2.000 TMS mensuale</t>
  </si>
  <si>
    <t>estimación   de   sus   potencialidades de recursos minerales</t>
  </si>
  <si>
    <t>Apoya   los   pequeños   mineros   a   incorporar   y   desarrollar   capacidades   técnicas   y   de   gestión   empresarial, a través de las siguientes líneas:  i. Fomento a la Innovación; ii. Transferencia Tecnológica; yiii.    Capacitación,    incluyendo    la    adopción    de    buenas prácticas que contribuyan a incrementar la competitividad del sector.</t>
  </si>
  <si>
    <t>Acceso a los mercados Internacionales, en condiciones comerciales similares a las que obtienen los grandes productores que operan en Chile</t>
  </si>
  <si>
    <t>https://www.dipres.gob.cl/597/articles-175242_r_ejecutivo_institucional.pdf</t>
  </si>
  <si>
    <t>https://www.dipres.gob.cl/597/articles-175242_informe_final.pdf</t>
  </si>
  <si>
    <t>servicio   de Defensoría   General, Penitenciaria y   de Primera   Audiencia</t>
  </si>
  <si>
    <t>provisión  del  servicio  de  defensa,  clasificando  el  costo directo  e indirecto  y  calculando  el  tiempo  que  requieren</t>
  </si>
  <si>
    <t xml:space="preserve">costo del servicio de defensa penal pública en los distintos llamados y para los distintos  tipos  de  servicios  de  defensa  desagregado  por  aquellas  variables  que  considere relevante  </t>
  </si>
  <si>
    <t>Análisis de indicadores de defensa penal licitada</t>
  </si>
  <si>
    <t>mecanismo de  licitación en los distintos llamados  y  para  los  distintos  tipos  de  servicios  de  defensa</t>
  </si>
  <si>
    <t>https://www.dipres.gob.cl/597/articles-141244_r_ejecutivo_institucional.pdf</t>
  </si>
  <si>
    <t>https://www.dipres.gob.cl/597/articles-141244_informe_final.pdf</t>
  </si>
  <si>
    <t>https://www.dipres.gob.cl/597/articles-141244_seguimiento_compromisos.pdf</t>
  </si>
  <si>
    <t>certeza  jurídica  sobre  sus  Títulos  de  Dominio  sobre  la  Propiedad Particular – Regularización</t>
  </si>
  <si>
    <t>certeza  jurídica  sobre  sus  Goces  singulares  o  como  comunidad agrícola</t>
  </si>
  <si>
    <t>certeza  jurídica  sobre  sus  derechos  relacionados  a  Títulos Gratuitos sobre la Propiedad Fiscal</t>
  </si>
  <si>
    <t>La  tenencia  irregular  de  propiedad  raíz</t>
  </si>
  <si>
    <t>La posesión irregular de propiedad raíz suele ser provocada por situaciones de pobreza, en la medida que  al  carecer  de  recursos  para  adquirir  un  sitio  o  una  vivienda,  algunas  personas  recurren  a  la  ocupación ilegal de algún territorio o no regularizan la posesión de territorios heredados, quedando en una situación de desprotección jurídica</t>
  </si>
  <si>
    <t>https://www.dipres.gob.cl/597/articles-141243_r_ejecutivo_institucional.pdf</t>
  </si>
  <si>
    <t>https://www.dipres.gob.cl/597/articles-141243_informe_final.pdf</t>
  </si>
  <si>
    <t>https://www.dipres.gob.cl/597/articles-141243_seguimiento_compromisos.pdf</t>
  </si>
  <si>
    <t>Infraestructura de agua potable entregada a localidades rurales que no cuentan con un servicio de  APR</t>
  </si>
  <si>
    <t>Mejoramiento, ampliación y conservación de infraestructura de APR</t>
  </si>
  <si>
    <t>Comités y Cooperativas, ambas entidades responsables de la administración, operación y  mantención  de  los  Sistemas  de  APR,  son  supervisados  y  asesorados,  por  medio  de  sus  dirigentes  y trabajadores,  en  aspectos  técnicos,  administrativos,  financieros  y  comunitarios</t>
  </si>
  <si>
    <t>la provisión de los servicios de agua y saneamiento para las áreas rurales en condiciones de calidad, continuidad y cobertura, es un desafío que demanda la atención especial de los gobiernos de todo el mundo, debido a las características particulares propias de la ruralidad</t>
  </si>
  <si>
    <t>gran  parte  de  la  población  rural  no  tiene  agua  potable disponible  para  consumo,  acarreando  esto  importantes  consecuencias  en  el  ámbito  de  la  salud pública</t>
  </si>
  <si>
    <t>https://www.dipres.gob.cl/597/articles-141242_r_ejecutivo_institucional.pdf</t>
  </si>
  <si>
    <t>https://www.dipres.gob.cl/597/articles-141242_informe_final.pdf</t>
  </si>
  <si>
    <t>https://www.dipres.gob.cl/597/articles-141242_seguimiento_compromisos.pdf</t>
  </si>
  <si>
    <t>Definición y envío de  nóminas  de  estudiantes  pre-seleccionados,  a  cargo  de  la  Dirección  Nacional  de  JUNAEB</t>
  </si>
  <si>
    <t>Emisión  de  solicitud  de  postulación  o  renovación  de  la  beca  a  cargo  de  los  encargados  de  ésta  en  cada  establecimiento educacional (red colaboradora</t>
  </si>
  <si>
    <t>Asignación de la beca, responsabilidad que recae en JUNAEB</t>
  </si>
  <si>
    <t>Pago de la beca, los que son efectuados directamente a los estudiantes a través del Banco Estado según dos modalidades, pago por cuenta RUT o pago masivo</t>
  </si>
  <si>
    <t>Entrega  a  las  redes  colaboradoras,  de  nóminas  de  pre-seleccionados,  de  materiales  de  difusión  y  promoción  y  de  capacitación,  a  cargo  de  las  Direcciones  Regionales  de  JUNAEB</t>
  </si>
  <si>
    <t>Junaeb;Beca</t>
  </si>
  <si>
    <t>https://www.dipres.gob.cl/597/articles-141241_r_ejecutivo_institucional.pdf</t>
  </si>
  <si>
    <t>https://www.dipres.gob.cl/597/articles-141241_informe_final.pdf</t>
  </si>
  <si>
    <t>https://www.dipres.gob.cl/597/articles-141241_seguimiento_compromisos.pdf</t>
  </si>
  <si>
    <t>•Establecimientos  Municipales:  administrados  por  el  sector  municipal,  ya  sea  a  través  de  los  Departamentos  Administrativos  de  Educación  Municipalizada  (DAEM)  o  de  las  Corporaciones  Municipales; y financiadas por el Estado.•Liceos Administración Delegada (Decreto Ley 31662, de 1980).  •Escuelas  Particulares  Subvencionadas:  financiadas  por  medio  de  un  subsidio  o  subvención  pública, vía subvención por alumno, además de la contribución de los padres u otros sostenedores privados.•Escuelas  Privadas  Pagadas:  no  reciben  subvenciones  del  Estado y  operan  totalmente  a  partir  de  administración privada y  financiamiento de los padres</t>
  </si>
  <si>
    <t>servicio  integral  de  calidad en  todos  los  niveles  del  sistema  escolar</t>
  </si>
  <si>
    <t>Financiamiento  Infraestructura,  Arriendo,  Equipamiento  y  Mobiliario  de  Liceos</t>
  </si>
  <si>
    <t>Acreditar una antigüedad mínima de 30 años</t>
  </si>
  <si>
    <t>servicio  educativo  en  los  establecimientos  educacionales  afectados  por  el  terremoto  de  2010 en las Regiones de Valparaíso, del Libertador Bernardo O’Higgins, del Maule, del Bío Bío, de la Araucanía y Metropolitana, establecida zona como afectadas por la catástrofe</t>
  </si>
  <si>
    <t>intervenciones   de   construcción,   reparación, normalización,  adquisición  de  equipamiento  y/o  mobiliario</t>
  </si>
  <si>
    <t>https://www.dipres.gob.cl/597/articles-141240_r_ejecutivo_institucional.pdf</t>
  </si>
  <si>
    <t>https://www.dipres.gob.cl/597/articles-141240_informe_final.pdf</t>
  </si>
  <si>
    <t>https://www.dipres.gob.cl/597/articles-141240_seguimiento_compromisos.pdf</t>
  </si>
  <si>
    <t>Financiamiento  Infraestructura,  Arriendo,  Equipamiento  y  Mobiliario  de  Liceos  Tradicionales</t>
  </si>
  <si>
    <t>servicios  orientados por el Proyecto Educativo Institucional</t>
  </si>
  <si>
    <t>potenciar  la  educación  pública  para  recuperar  su  importancia  en el  desarrollo  nacional</t>
  </si>
  <si>
    <t>Uno  de  los  principales  requisitos,  es  la  exigencia que la matrícula sea jornada completa</t>
  </si>
  <si>
    <t>https://www.dipres.gob.cl/597/articles-139827_r_ejecutivo_institucional.pdf</t>
  </si>
  <si>
    <t>https://www.dipres.gob.cl/597/articles-139827_informe_final.pdf</t>
  </si>
  <si>
    <t>https://www.dipres.gob.cl/597/articles-139827_seguimiento_compromisos.pdf</t>
  </si>
  <si>
    <t>Infraestructura Educacional</t>
  </si>
  <si>
    <t>Ejecuta acciones con la comunidad, las municipalidades y la infraestructura cultural, privada y pública, de las comunas</t>
  </si>
  <si>
    <t>disminución  de  las  desigualdades  en  el  acceso y  la  participación de la población, en la cultura y las artes</t>
  </si>
  <si>
    <t>Catastro Nacional de Infraestructura Cultural Pública y Privada en todas las comunas del país</t>
  </si>
  <si>
    <t>Laboratorios Regionales para encargados municipales de cultura, de espacios culturales y  de  iniciativas  culturales  comunitarias</t>
  </si>
  <si>
    <t>Encuentros  ciudadanos  para:  a)  garantizar  espacios  de  participación  ciudadana  en  la  elaboración de los Planes Municipales de Cultura (PMC); b) validar los documentos; o c) incorporar el PMC, en los en el PLADECO de la comuna</t>
  </si>
  <si>
    <t>https://www.dipres.gob.cl/597/articles-141245_r_ejecutivo_institucional.pdf</t>
  </si>
  <si>
    <t>https://www.dipres.gob.cl/597/articles-141245_informe_final.pdf</t>
  </si>
  <si>
    <t>https://www.dipres.gob.cl/597/articles-141245_seguimiento_compromisos.pdf</t>
  </si>
  <si>
    <t>Jóvenes, mujeres y personas en situación de discapacidad son capacitados en oficios, con  acceso  a  servicios  de  intermediación  laboral,  certificación  de  competencias,  nivelación  de  estudios y/o continuidad de estudios (Modelo inclusivo)</t>
  </si>
  <si>
    <t>levantamiento de la demanda del mercado laboral de cada  región</t>
  </si>
  <si>
    <t>oficios  levantados  por  Chile  Valora  priorizados  por  medio  de  coordinaciones  multisectoriales  (trabajadores,  empresas  y  sector  público),  y  que    pueden  contar  con  certificación  de  competencias  laborales,  a  través  de  un  proceso  de  evaluación  y  certificación  que  realiza  dicha  institución</t>
  </si>
  <si>
    <t>subsidiosdirectos  a  los  usuarios/as(movilización, colación,  sala  cuna),  junto a  la  capacitación  de  oficio,  apoyo  socio-laboral y ayuda a la colocación de las personas que participan en la capacitación</t>
  </si>
  <si>
    <t>Mujeres se capacitan para desarrollar un emprendimiento orientado al autoempleo y disponen  de  recursos  de  inversión  para  ello</t>
  </si>
  <si>
    <t>https://www.dipres.gob.cl/597/articles-141239_r_ejecutivo_institucional.pdf</t>
  </si>
  <si>
    <t>https://www.dipres.gob.cl/597/articles-141239_informe_final.pdf</t>
  </si>
  <si>
    <t>https://www.dipres.gob.cl/597/articles-141239_seguimiento_compromisos.pdf</t>
  </si>
  <si>
    <t>Plan   de   Reparaciones   Menores</t>
  </si>
  <si>
    <t>econstruir  el  país  en  cuatro  años  luego  de  uno  los  terremotos más grandes de la historia</t>
  </si>
  <si>
    <t>La reconstrucción comenzó, durante la etapa de estabilización, con un diseño de la estrategia a seguir para llevar a cabo una reconstrucción completa</t>
  </si>
  <si>
    <t>https://www.dipres.gob.cl/597/articles-139831_r_ejecutivo_institucional.pdf</t>
  </si>
  <si>
    <t>https://www.dipres.gob.cl/597/articles-139831_informe_final.pdf</t>
  </si>
  <si>
    <t>https://www.dipres.gob.cl/597/articles-139831_seguimiento_compromisos.pdf</t>
  </si>
  <si>
    <t>El Plan de Invierno busca proteger a las personas que viven en situación de calle, muchas de las cuales pernoctan en la vía pública siendo discriminadas y excluidas socialmente</t>
  </si>
  <si>
    <t>Los Centros  Temporales  para  la  Superación  (CTS)  corresponden a  un  sistema  de  cuatro  tipos  de  dispositivos que ofrecen alojamiento temporal y servicios básicos para personas en situación de calle</t>
  </si>
  <si>
    <t>Hospedería : Servicio temporal de alojamiento nocturno</t>
  </si>
  <si>
    <t>Servicio de residencia temporal a personas en situación de calle</t>
  </si>
  <si>
    <t>Casa Compartida (CC): Destinado a aquellas personas que se encuentran en proceso de superación de la situación de calle</t>
  </si>
  <si>
    <t>https://www.dipres.gob.cl/597/articles-139832_r_ejecutivo_institucional.pdf</t>
  </si>
  <si>
    <t>https://www.dipres.gob.cl/597/articles-139832_informe_final.pdf</t>
  </si>
  <si>
    <t>https://www.dipres.gob.cl/597/articles-139832_seguimiento_compromisos.pdf</t>
  </si>
  <si>
    <t>se  implementa  intersectorialmente  entre  el  SERNAM,  las  Municipalidades,  el  Ministerio  de  Educación y  la  Junta  Nacional  de  Auxilio  Escolar  y  Becas</t>
  </si>
  <si>
    <t>Es  el  SERNAM  la  entidad  gubernamental  responsable  del  programa,  quien  entrega  los  lineamientos  técnicos5 para  la  ejecución  de  éste,  y  coordina  su  implementación</t>
  </si>
  <si>
    <t>Talleres  y  cursos  formativos  de  desarrollo  personal  y  fortalecimiento  del  perfil  laboral  realizados  con  enfoque  de  género,  otorgados  a  las  mujeres  participantes  del  programa</t>
  </si>
  <si>
    <t>Talleres  de  apoyo  escolar,  deportivo,  recreativo,  artístico  y/o  cultural,  con  enfoque  de  género,  otorgados  a  niñas  y  niños  del  programa</t>
  </si>
  <si>
    <t>focalización  territorial  (elección  de  comunas  nuevas o antiguas en que se ha ejecutado), lo que se realiza a partir de la postulación por medio de un proyecto enviado por municipios, tanto por los nuevos como los antiguos</t>
  </si>
  <si>
    <t>https://www.dipres.gob.cl/597/articles-139833_r_ejecutivo_institucional.pdf</t>
  </si>
  <si>
    <t>https://www.dipres.gob.cl/597/articles-139833_informe_final.pdf</t>
  </si>
  <si>
    <t>https://www.dipres.gob.cl/597/articles-139833_seguimiento_compromisos.pdf</t>
  </si>
  <si>
    <t>Condominio de Viviendas Tuteladas (CVT), las que les son entregadas en comodato por  SENAMA</t>
  </si>
  <si>
    <t>Adulto mayor;Senama</t>
  </si>
  <si>
    <t>Establecimientos de Larga Estadía para Adultos Mayores (ELEAM), residencias  colectivas  en  que  viven,  en  forma  permanente  o  temporal,  personas  mayores  que  se  encuentran en condición de vulnerabilidad social y dependencia (leve, moderada o severa)</t>
  </si>
  <si>
    <t>Viviendas Individuales Asignadas (Stock de Viviendas Individuales), viviendas  individuales  pertenecientes  al  2%  de  las  viviendas  sociales  construidas  por  el  Estado  entre  los  años  1986  y  2005,  y  que,  hasta  el  año  2011  fueron  asignadas  por  el  programa,  en  comodato,  a  adultos  mayores  autovalentes en  situación  de  vulnerabilidad</t>
  </si>
  <si>
    <t>El programa se inicia como tal en 2007 con el convenio suscrito entre SENAMA y MINVU y la atención de beneficiarios por los componentes comienza en los años 2009 (CVT y Stock) y 2011 (ELEAM). No tiene previsto  fecha  de  término.  El programa  tiene  un  ámbito  de  acción  de  carácter  nacional,  aunque  en  los años 2013 y 2014 no mantiene presencia en todo el territorio</t>
  </si>
  <si>
    <t>Carencia de redes socio familiares de apoyo</t>
  </si>
  <si>
    <t>Carencia Habitacional</t>
  </si>
  <si>
    <t>https://www.dipres.gob.cl/597/articles-141238_r_ejecutivo_institucional.pdf</t>
  </si>
  <si>
    <t>https://www.dipres.gob.cl/597/articles-141238_informe_final.pdf</t>
  </si>
  <si>
    <t>https://www.dipres.gob.cl/597/articles-141238_seguimiento_compromisos.pdf</t>
  </si>
  <si>
    <t>Orientaciones curriculares y estándares para la formación inicial docente</t>
  </si>
  <si>
    <t>Estándares Pedagógicos para carreras de Educación Parvularia; Estándares Disciplinares para carreras de pedagogía en Educación Parvularia; Estándares Disciplinarios  para  carreras  de  pedagogía  en  Educación  Física;  Estándares  Disciplinarios  para carreras  de  pedagogía  en  Artes  Visuales  y  Música;  Estándares  Disciplinarios  para  carreras  de pedagogía en Inglés; y Estándares Disciplinarios para carreras de Educación Especial</t>
  </si>
  <si>
    <t>Evaluación Diagnóstica para estudiantes de pedagogía(Prueba INICIA)</t>
  </si>
  <si>
    <t>Apoyo  para  el  Fortalecimiento  y  Renovación  de  la  Formación  Inicial  de  Docentes impartida por las Institucionesde Educación Superior</t>
  </si>
  <si>
    <t>Apoyo a la inserción profesional de los docentes principiantes</t>
  </si>
  <si>
    <t>Docente</t>
  </si>
  <si>
    <t>Docente;competencias digitales en docentes</t>
  </si>
  <si>
    <t>https://www.dipres.gob.cl/597/articles-141237_r_ejecutivo_institucional.pdf</t>
  </si>
  <si>
    <t>https://www.dipres.gob.cl/597/articles-141237_informe_final.pdf</t>
  </si>
  <si>
    <t>https://www.dipres.gob.cl/597/articles-141237_seguimiento_compromisos.pdf</t>
  </si>
  <si>
    <t>Pesca</t>
  </si>
  <si>
    <t>Asesoría  de  excelencia  a  la  autoridad  competente  en  pesca  y  acuicultura,  para  la toma  de  decisiones  sectoriales</t>
  </si>
  <si>
    <t>Investigación científica aplicada y seguimiento de las pesquerías y de los efectos de la acuicultura, con base en metodologías validadas</t>
  </si>
  <si>
    <t>Gestión  y  difusión  de  información  actualizada  biológica-pesquera,  y  acuícola,  de interés para el país</t>
  </si>
  <si>
    <t>sustentabilidad  de  la  pesca  y  la  acuicultura</t>
  </si>
  <si>
    <t>medidas de manejo de los   recursos   hidrobiológicos,   habiendo   alcanzado   un   posicionamiento   de   agente   clave imprescindible para la gestión eficaz de la institucionalidad pesquera nacional</t>
  </si>
  <si>
    <t>https://www.dipres.gob.cl/597/articles-141236_r_ejecutivo_institucional.pdf</t>
  </si>
  <si>
    <t>https://www.dipres.gob.cl/597/articles-141236_informe_final.pdf</t>
  </si>
  <si>
    <t>https://www.dipres.gob.cl/597/articles-141236_seguimiento_compromisos.pdf</t>
  </si>
  <si>
    <t>Servicio   primera   línea:   Víctimas   de   delitos   reciben   orientación   e información,  por  medio  de  modalidades  flexibles  y  adaptadas  a  sus  necesidades  para prevenir la victimización  secundaria y facilitar el acceso a reparación integral</t>
  </si>
  <si>
    <t>Servicio   de   Orientación   e   Información   (SOI):   Provee   orientación   e   información telefónica a nivel nacional a personas que han sido víctimas por medio de un equipo que conforma  una  central  de  contactos</t>
  </si>
  <si>
    <t>Coordinación  Red  de  Asistencia  a  Víctimas  (RAV): Víctimas  de  delito acceden a servicios articulados intersectorialmente</t>
  </si>
  <si>
    <t>Servicio  segunda  línea:  Víctimas  de  delitos  reciben  atención  integral especializada (psicosociojurídica)</t>
  </si>
  <si>
    <t>Apoyo  a  víctimas  las  24  Horas  (APV24H): Se  trata  de  la  atención  contingente  en  el sitio del suceso de los delitos violentos en contexto de flagrancias que son informados por las  Fiscalías  de  la  RM  y  de  la  Región  de  la  Araucanía con  las  que  se  tiene  convenio</t>
  </si>
  <si>
    <t>Víctima</t>
  </si>
  <si>
    <t>https://www.dipres.gob.cl/597/articles-139819_r_ejecutivo_institucional.pdf</t>
  </si>
  <si>
    <t>https://www.dipres.gob.cl/597/articles-139819_informe_final.pdf</t>
  </si>
  <si>
    <t>https://www.dipres.gob.cl/597/articles-139819_seguimiento_compromisos.pdf</t>
  </si>
  <si>
    <t>Fondo de Promoción de Exportaciones (FPE)</t>
  </si>
  <si>
    <t>Fondo de Promoción de Exportaciones Silvoagropecuarias (FPESA)</t>
  </si>
  <si>
    <t>diversificación de mercados</t>
  </si>
  <si>
    <t>ampliación de la cobertura a nuevas empresas exportadoras</t>
  </si>
  <si>
    <t>innovación y emprendimiento</t>
  </si>
  <si>
    <t>Capital Semilla;emprendimiento</t>
  </si>
  <si>
    <t>Emprendimiento</t>
  </si>
  <si>
    <t>ProChile;emprendimiento</t>
  </si>
  <si>
    <t>Capacidades de gestión empresarial;Capital Semilla;emprendimiento</t>
  </si>
  <si>
    <t>https://www.dipres.gob.cl/597/articles-139826_r_ejecutivo_institucional.pdf</t>
  </si>
  <si>
    <t>https://www.dipres.gob.cl/597/articles-139826_informe_final.pdf</t>
  </si>
  <si>
    <t>https://www.dipres.gob.cl/597/articles-139826_seguimiento_compromisos.pdf</t>
  </si>
  <si>
    <t>Educación  parvularia  de  calidad  provista  directamente  por  JUNJI</t>
  </si>
  <si>
    <t>Educación  parvularia  de  calidad  provista  por  terceros  vía transferencia de fondos provenientes de JUNJI</t>
  </si>
  <si>
    <t>La  población  objetivo  son  los  niños  y  niñas  cuyas  familias  pertenecen  al  60%  de  los  hogares  más  pobres  de  Chile,  de  acuerdo  a  la  Ficha  de  Protección  Social,  o  bien  que  cumplen algún criterio de vulnerabilidad social</t>
  </si>
  <si>
    <t>Presupuesto JUNAEB destinado a financiar las raciones alimenticias de los niños y niñas que asisten al Programa</t>
  </si>
  <si>
    <t>pertinencia  de  la  educación  parvularia  como modalidad de atención educativa</t>
  </si>
  <si>
    <t>https://www.dipres.gob.cl/597/articles-139791_r_ejecutivo_institucional.pdf</t>
  </si>
  <si>
    <t>https://www.dipres.gob.cl/597/articles-139791_informe_final.pdf</t>
  </si>
  <si>
    <t>https://www.dipres.gob.cl/597/articles-139791_seguimiento_compromisos.pdf</t>
  </si>
  <si>
    <t>bonificaciones para la recuperación y manejo sustentable del Bosque Nativo</t>
  </si>
  <si>
    <t>elaboración y apoyo técnico para la ejecución de planes de manejo de bosque nativo</t>
  </si>
  <si>
    <t>investigaciones que generannuevos conocimientos y prácticas sobre el manejo de ecosistemas asociados al bosque nativo, en particular conocimientos sobre las dinámicas del bosque nativo y la conservación de su diversidad biológica, y prácticas sobre el comportamiento y manejo de los ecosistemas forestales nativos</t>
  </si>
  <si>
    <t>los usuarios conozcan y exijan sus derechos y asi mismo asuman las obligaciones de acuerdo a la Ley del Bosque nativo</t>
  </si>
  <si>
    <t>catastro de Bosque Nativo del país, elaborado y actualizado periódicamente</t>
  </si>
  <si>
    <t>https://www.dipres.gob.cl/597/articles-139786_r_ejecutivo_institucional.pdf</t>
  </si>
  <si>
    <t>https://www.dipres.gob.cl/597/articles-139786_informe_final.pdf</t>
  </si>
  <si>
    <t>https://www.dipres.gob.cl/597/articles-139786_seguimiento_compromisos.pdf</t>
  </si>
  <si>
    <t>los esfuerzos que realiza ChileCompra para aumentar la transparencia del sistema (del objetivo estratégico “Probidad y transparencia”)  no  ha  generado  como  contrapartida  un  efecto  adverso  en  el  número  de  postores.</t>
  </si>
  <si>
    <t>El uptime    del    sistema    de    compras    públicas,    y    en    particular    de    la    plataformawww.mercadopublico.cl    presenta    valores    que    en    promedio    superan    el    99,5%    de    disponibilidad,  superando  el  benchmark  utilizado,  el  cual  considera  a  un  total  de  28  hostings reconocidos</t>
  </si>
  <si>
    <t>La  centralización  de  los  convenios  marco  permitió  reducir las licitaciones y generar ahorros</t>
  </si>
  <si>
    <t>La  participación  de  micro,  pequeñas  y  medianas  empresas  ha  aumentado lo cual apoya el objetivo estratégico de “Competitividad e inclusivo”</t>
  </si>
  <si>
    <t>El  porcentaje  de  compras  que  incorporan  criterios  de  sustentabilidad  ha  aumentado</t>
  </si>
  <si>
    <t>https://www.dipres.gob.cl/597/articles-139784_r_ejecutivo_institucional.pdf</t>
  </si>
  <si>
    <t>https://www.dipres.gob.cl/597/articles-139784_informe_final.pdf</t>
  </si>
  <si>
    <t>https://www.dipres.gob.cl/597/articles-139784_seguimiento_compromisos.pdf</t>
  </si>
  <si>
    <t>Bienes patrimoniales inmuebles protegidos oficialmente y puestos en valor, con modelos de gestión y administración sustentables</t>
  </si>
  <si>
    <t xml:space="preserve"> Generar  y  fortalecer capacidades  institucionales  para  la  gestión  del  patrimonio,  con equipos profesionales capacitados en ejecución de proyectos y gestión de inmuebles patrimoniales, y con metodologías específicas para ello</t>
  </si>
  <si>
    <t>Difundir  el  programa,  sus  obras,  el  valor  patrimonial  de  los  inmuebles  y  las  actividades que se desarrollan en los inmuebles puestos en valor</t>
  </si>
  <si>
    <t>se  ha  definido  el  concepto  de entorno cultural como aquellos grupos que se vinculan a cada inmueble patrimonial</t>
  </si>
  <si>
    <t>El  entorno  cultural  puede  estar  formado  por  el  entorno  físico  del  inmueble,  pero  también  puede  estar integrado  por  visitantes,  o  por  comunidades  que  sin  vivir  en  el  entorno  cercano,  mantienen  vínculos familiares, culturales o sentimentales con un determinado inmueble y que por lo tanto pueden valorar las inversiones realizadas</t>
  </si>
  <si>
    <t>https://www.dipres.gob.cl/597/articles-141219_r_ejecutivo_institucional.pdf</t>
  </si>
  <si>
    <t>https://www.dipres.gob.cl/597/articles-141219_informe_final.pdf</t>
  </si>
  <si>
    <t>https://www.dipres.gob.cl/597/articles-141219_seguimiento_compromisos.pdf</t>
  </si>
  <si>
    <t>levantar  información  para  el  diseño  de  una  política  pública  para  abordar  problemas  de  conflictos  vecinales</t>
  </si>
  <si>
    <t>El  estudio  Práctico  no  cuenta  con  una  normativa  propiamente  tal  que  lo  regule;  su  funcionamiento, en sus inicios por un año, de acuerdo a lo solicitado por la Subsecretaría de  Justicia,  se  enmarca  en  la  aprobación  otorgada  por  la  Contraloría  General  de  la  República  en  el  documento  N°  38  con  fecha  7  de  enero  del  2011</t>
  </si>
  <si>
    <t>Las  personas  residentes  y  que  trabajan  en  las  comunas  de  la  Región  Metropolitana donde funciona el proyecto resuelven sus conflictos de orden vecinal o son orientados o asesorados en problemas no vecinales</t>
  </si>
  <si>
    <t>Personas con conflictos vecinales reciben atención en las Unidades de Justicia  Vecinal  (UJV)  para  la  solución  de  éstos,  mediante  mecanismos  alternativos    de  solución  de  conflictos  (MASC),  mecanismos  adjudicativos,  o  a  través  del  trabajo  en  red  con programas y servicios sociales</t>
  </si>
  <si>
    <t>Personas  que  presentan  conflictos  no  vecinales  en  las  UJV,  reciben  orientación y/o asesoría social y/o jurídica para la búsqueda de solución de éstos</t>
  </si>
  <si>
    <t>https://www.dipres.gob.cl/597/articles-141218_r_ejecutivo_institucional.pdf</t>
  </si>
  <si>
    <t>https://www.dipres.gob.cl/597/articles-141218_informe_final.pdf</t>
  </si>
  <si>
    <t>Capital Humano y Desarrollo  y  Fortalecimiento  de  la  Base  Científica  y  Tecnológica</t>
  </si>
  <si>
    <t>Fortalecer  la  capacidad  académica,  científica  y  tecnológica  de  instituciones  nacionales,  por medio de la inserción laboral de nuevos investigadores en la academia y sector productivo</t>
  </si>
  <si>
    <t>inserción  de  doctores  de  reciente  graduación  tanto  en  la  Academia  como  en  el Sector Productivo</t>
  </si>
  <si>
    <t>financiar  la Inserción  de  nuevos/as  investigadores/as  formados  en  nuestro  país  y  el  extranjero,  en  proyectos  que refuercen  científicamente  un  área  específica  del  conocimiento  al  interior  de  Instituciones  Académicas, Centros e Institutos de Investigación Nacionales</t>
  </si>
  <si>
    <t>contribuir  al  fortalecimiento  de  las  capacidades  de  investigación  e  innovación  de las empresas  y  centros  tecnológicos  nacionales</t>
  </si>
  <si>
    <t>https://www.dipres.gob.cl/597/articles-141217_r_ejecutivo_institucional.pdf</t>
  </si>
  <si>
    <t>https://www.dipres.gob.cl/597/articles-141217_informe_final.pdf</t>
  </si>
  <si>
    <t>https://www.dipres.gob.cl/597/articles-141217_seguimiento_compromisos.pdf</t>
  </si>
  <si>
    <t>Incrementar,  de  acuerdo  a estándares  internacionales,  la  cantidad  y  calidad  de  la  investigación  fundamental  en  ciencia  y  tecnología  realizada en Chile por investigadores nacionales o extranjeros residentes</t>
  </si>
  <si>
    <t>Proyectos  individuales  de  investigación  básica  de  calidad,  realizada  por investigadores de mayor mérito y trayectoria, financiados por el concurso Regular</t>
  </si>
  <si>
    <t>Proyectos   individuales   de   investigación   financiados   para   impulsar   la participación   de   nuevos   investigadores   en   la   generación   de   conocimiento   científico   y tecnológico</t>
  </si>
  <si>
    <t>Proyectos financiados por el concurso  de  Postdoctorado</t>
  </si>
  <si>
    <t>Proyectos   financiados   por   el concurso   de   Iniciación</t>
  </si>
  <si>
    <t>https://www.dipres.gob.cl/597/articles-141216_r_ejecutivo_institucional.pdf</t>
  </si>
  <si>
    <t>https://www.dipres.gob.cl/597/articles-141216_informe_final.pdf</t>
  </si>
  <si>
    <t>Contribuir  a  preservar  lenguas  y  culturas  indígenas</t>
  </si>
  <si>
    <t>Directivos, docentes y técnicos apoyados y asesorados en la implementación de la interculturalidad    en  la  educación  parvularia  y  básica  en  sus  respectivos  establecimientos</t>
  </si>
  <si>
    <t>Parvularios,  técnicos  y  educadores  en  lengua  y  cultura  indígena  (ELCI)  capacitados</t>
  </si>
  <si>
    <t>regiones: I, II, III, V, RM, VII, IX, X, XII y XV</t>
  </si>
  <si>
    <t>Estudiantes de enseñanza básica y media,  indígenas y no indígenas de establecimientos subvencionados,  adquieren  conocimientos  de    la  lengua  y  cultura  de  los  pueblos  originarios    por  medio de prácticas pedagógicas y gestión institucional intercultural</t>
  </si>
  <si>
    <t>Comunidad educativa desarrolla competencias interculturales y de participación ciudadana  que  favorecen  la  interculturalidad</t>
  </si>
  <si>
    <t>https://www.dipres.gob.cl/597/articles-160334_r_ejecutivo_institucional.pdf</t>
  </si>
  <si>
    <t>https://www.dipres.gob.cl/597/articles-160334_informe_final.pdf</t>
  </si>
  <si>
    <t>En los niveles superiores (UEH de hospitales de baja, mediana y alta complejidad), la cantidad de  usuarios  debería  ser  menor.  En  particular,  el  proceso  se  inicia  por  el  ingreso  del  usuario  a una UEH que está precedido por el selector de demanda</t>
  </si>
  <si>
    <t>Nivel  1  -  Evaluación  a  partir  de  estándares  internacionales:  considera  el  sistema  de  atención de urgencia en su conjunto, compara al país con otras latitudes, y se basa en las recomendaciones emanadas desde la Organización Mundial de la Salud (OMS)</t>
  </si>
  <si>
    <t>Nivel  2  -  Evaluación  funcional  de  la  RdU  a  partir  de  normativa  MINSAL:  considera  el  funcionamiento establecido en las normativas del MINSAL para la RdU chilena. En este nivel  se  analizan  los  flujos  de  pacientes  dentro  de  la  RdU,  definiciones  y  coordinación  entre  los  distintos  ECE.  Aborda  cómo  responde  a  las  urgencias de  nuestro  sistema  de  salud</t>
  </si>
  <si>
    <t>Nivel  3  -  Evaluación  de  cada  ECE  por  separado  a  partir  de  indicadores:  es  el  nivel  de  análisis menos agregado puesto que evalúa cada uno de los ECE. Para ello se utilizan los indicadores estimados  a  partir  de  la  data  disponible  en  el  DEIS  MINSAL  y  algunos  estándares internacionales adecuados al ECE considerado</t>
  </si>
  <si>
    <t>https://www.dipres.gob.cl/597/articles-141215_r_ejecutivo_institucional.pdf</t>
  </si>
  <si>
    <t>https://www.dipres.gob.cl/597/articles-141215_informe_final.pdf</t>
  </si>
  <si>
    <t>https://www.dipres.gob.cl/597/articles-141215_seguimiento_compromisos.pdf</t>
  </si>
  <si>
    <t>Contribuir a promover el uso del transporte público de pasajeros del país, exceptuando la Provincia de Santiago y comunas de Puente Alto y San Bernardo</t>
  </si>
  <si>
    <t>Subsidio a la oferta de Transporte Público</t>
  </si>
  <si>
    <t>Subsidio entregado a la demanda de Transporte Público (articulo 4b), dependiente del MTT.  Consiste  en  un  bono5entregado  a  personas  vulnerables  con  el  fin de subsidiar  sus  gastos  en transporte público</t>
  </si>
  <si>
    <t>Subsidio  al  programa  de  apoyo  al  transporte  regional  (accesibilidad)  (artículo  5a), dependiente del MTT</t>
  </si>
  <si>
    <t>Inversiones.  Esta  componente  considera  el  financiamiento  de  iniciativas  de  inversión asociadas a mejorar el sistema de transporte</t>
  </si>
  <si>
    <t>https://www.dipres.gob.cl/597/articles-141214_r_ejecutivo_institucional.pdf</t>
  </si>
  <si>
    <t>https://www.dipres.gob.cl/597/articles-141214_informe_final.pdf</t>
  </si>
  <si>
    <t>https://www.dipres.gob.cl/597/articles-141214_seguimiento_compromisos.pdf</t>
  </si>
  <si>
    <t>ondo anual aprobado por la Ley de Presupuesto para  el  Sector  Público,  destinado  al  desarrollo  de  programas  de  acción  social que  reflejen  las  políticas sociales de Gobierno en lo respecta a la atención transitoria de personas que se encuentran en situación o condición de vulnerabilidad social</t>
  </si>
  <si>
    <t>Entregar  asistencias  complementarias  y  transitorias  a  personas  naturales  que  se encuentren  en  situación  de  vulnerabilidad  social,  producto  de  la  carencia  de  recursos  económicos estimados  como  indispensables  para  enfrentar  contingencias  sociales  que  no  son  cubiertas  por  otras líneas de acción estatal</t>
  </si>
  <si>
    <t>ORASMI Regular, aporte destinado a cubrir la ayuda a personas naturales, chilenos(as) o extranjeros(as)  con  cédula  de  identidad  nacional,  según  necesidad  manifiesta.  Existen  seis  líneas  de acción o áreas de atención: salud, vivienda, educación, asistencia social, capacitación e inserción laboral y discapacidad.</t>
  </si>
  <si>
    <t>Refugiados e Inmigrantes Vulnerables, referido a convenios de colaboración establecidos con  instituciones  públicas  o  privadas  sin  fines  de  lucro.  Se  transfieren  recursos  a  terceros  para  dar atención  integral  a  la  población  refugiada,  solicitante  de  refugio  e  inmigrantes,  que  se  encuentran  en situación de vulnerabilidad social.</t>
  </si>
  <si>
    <t>Programas  especiales  de  aporte  a  personas  que  se  encuentran  en  situación  de vulnerabilidad  social,  las  cuales  determinan  una  demanda  colectiva  específica.  La  ejecución  de  estos programas es definida desde el gobierno central, y responden a contingencias sociales y de alto impacto</t>
  </si>
  <si>
    <t>infraestructura cultural</t>
  </si>
  <si>
    <t>A partir del año 2015, la provisión FIC-R es incorporada directamente en los presupuestos de los gobiernos regionales-en adelante GORE –estableciéndose que “el Fondo de Innovación para   la   Competitividad   de  Asignación   Regional     es  un   instrumento   efectivo  para   el establecimiento  e  implementación  de  las  estrategias  regionales  de  innovación  y  políticas afines,  aprobadas  por  los  gobiernos  regionales,  las  que  deben  ser  coherentes  con  las estrategias   de   desarrollo   regional   y   en   concordancia   con   la   estrategia   nacional   de innovación</t>
  </si>
  <si>
    <t>estrategia de innovación</t>
  </si>
  <si>
    <t>adolescentes imputados por la Ley;Rehabilitación y Reinserción Social</t>
  </si>
  <si>
    <t>seguridad ciudadana;Rehabilitación y Reinserción Social</t>
  </si>
  <si>
    <t>Rehabilitación y Reinserción Social</t>
  </si>
  <si>
    <t>salud bucal;jardines  infantiles</t>
  </si>
  <si>
    <t>jardines  infantiles</t>
  </si>
  <si>
    <t>Rendimiento deportivo;Deporte recreativo</t>
  </si>
  <si>
    <t>Deporte recreativo</t>
  </si>
  <si>
    <t>aprendizaje del oficio</t>
  </si>
  <si>
    <t>Emprendimiento;aprendizaje del oficio</t>
  </si>
  <si>
    <t>Subsidio al empleo;sectores económicamente vulnerables;Desempleo</t>
  </si>
  <si>
    <t>sectores económicamente vulnerables;Desempleo</t>
  </si>
  <si>
    <t>Establecimientos educacionales;Bibliotecas</t>
  </si>
  <si>
    <t>Bibliotecas</t>
  </si>
  <si>
    <t>coordinar las distintas modalidades de estudio a través de las cuales el Ministerio de Educación ha regulado la entrega de servicios educativos a las personas que requieren comenzar, continuar, validar, reconocer y certificar estudios básicos o medios</t>
  </si>
  <si>
    <t>Junaeb;retención escolar</t>
  </si>
  <si>
    <t>Reinserción Escolar;retención escolar</t>
  </si>
  <si>
    <t>Condominios Sociales</t>
  </si>
  <si>
    <t>capital humano</t>
  </si>
  <si>
    <t>Innovación tecnológica;capital humano</t>
  </si>
  <si>
    <t>PYME</t>
  </si>
  <si>
    <t>turismo</t>
  </si>
  <si>
    <t>mejorar agricultura</t>
  </si>
  <si>
    <t>Capacidades de gestión empresarial;Agricultores;emprendimiento;mejorar agricultura</t>
  </si>
  <si>
    <t>Capacidades de gestión empresarial;mejorar agricultura</t>
  </si>
  <si>
    <t>Emprendimiento;mejorar agricultura</t>
  </si>
  <si>
    <t>Desarrollo de los Pueblos Indígenas;emprendimiento;mejorar agricultura</t>
  </si>
  <si>
    <t>Capacidades de gestión empresarial;emprendimiento;mejorar agricultura</t>
  </si>
  <si>
    <t>agua potable</t>
  </si>
  <si>
    <t>Calidad de vida;Recuperación de Barrios;Servicios básicos;agua potable</t>
  </si>
  <si>
    <t>Tipo de evaluación</t>
  </si>
  <si>
    <t>Características encontradas en la evaluación, que tipifican el problema, además explican el fin, objetivo y razón del programa gubernamental</t>
  </si>
  <si>
    <t>Explicaciones encontradas que justifican parcialmente el resultado de la evaluación o constituye alguna irregularidad observada</t>
  </si>
  <si>
    <t>Informes descargables de la evaluación</t>
  </si>
  <si>
    <t>A criterio de  Reyes / Monserrat, tipificación del programa, a través del nombre del programa o caracterización, comunes a 2 o más programas, explicitando el objetivo del programa gubernamental desde la variable instrumental</t>
  </si>
  <si>
    <t>Región o comuna que atiende el programa evaluado. Si es nacional, entonces aparece en blanco esta casilla</t>
  </si>
  <si>
    <t>Presupuesto del programa al año de la evaluación, deflactados a a Precios de 2013, a fines de comparar los recursos monetarios recibidos en cada programa durante el período analizado por Dipres</t>
  </si>
  <si>
    <t>Recomendaciones encontradas en la evaluación, que analizan cada programa gubernamental, intentando mejorar su desempeño, de acuerdo a los objetivos informados por el organismo responsable y analizando el diseño de acuerdo al problema que intenta abordar cada programa, de tal manera que su desviación conlleva a recomendar redefinir el programa, en función de los objetivos reales de cada programa. Es importante mencionar que la continuidad de ninguno de los programas está sujeto al resultado obtenido por la evaluación, quedando entonces las recomendaciones en Dipres, sin que ello conlleve a cerrar o incluso a modificar el programa que se está evaluando. Finalmente, hay diferentes tipos de evaluación, de las cuales alguna no aplica el criterio de clasificación establecido por Dipres y en consecuencia indican que no aplica para una determinada evaluación.</t>
  </si>
  <si>
    <t>A criterio de  Reyes / Monserrat, recoge variables y/o aspectos comunes a 2 o más programas, explicitando el objetivo del programa gubernamental desde la variable instrumental. Los programas que no tienen variables coicidentes aparecen en blanco (transitoriamente también quedaron otros en blanco por falta de tiempo para rellenar por el analista). Están separadas por punto y coma, para que el analista de base de datos (BD) puede separar en una o más variables dependiendo de lo encontrado en cada evaluación.</t>
  </si>
  <si>
    <t>Presupuesto</t>
  </si>
  <si>
    <t>llevar a dolares</t>
  </si>
  <si>
    <t>Llevar a Rango con mínimo y máximo (Hacer categorías)</t>
  </si>
  <si>
    <t>Hay manera de conseguir el universo de programas de que existen en cada año? (sólo tenemos la muestra)</t>
  </si>
  <si>
    <t>Incluir las recomendaciones</t>
  </si>
  <si>
    <t>Feccha</t>
  </si>
  <si>
    <t>Consulta</t>
  </si>
  <si>
    <t>Solicitud 1</t>
  </si>
  <si>
    <t>Solicitud 2</t>
  </si>
  <si>
    <t>Solicitud 3</t>
  </si>
  <si>
    <t>Tomar una muestra de los 15 presupuestos más altos y contrastar con otra fuente</t>
  </si>
  <si>
    <t>Respuesta</t>
  </si>
  <si>
    <t>N° Consulta</t>
  </si>
  <si>
    <t>Consulta 1. Solicitud 3</t>
  </si>
  <si>
    <t>https://www.dipres.gob.cl/598/w3-propertyvalue-2129.html#presupuesto_anios</t>
  </si>
  <si>
    <t>Validación</t>
  </si>
  <si>
    <t>Link Validación</t>
  </si>
  <si>
    <t>Link Descarga</t>
  </si>
  <si>
    <t>https://www.dipres.gob.cl/597/articles-170789_doc_xls.xls</t>
  </si>
  <si>
    <t>https://programassociales.ministeriodesarrollosocial.gob.cl/pdf/2017/PRG2017_3_497.pdf</t>
  </si>
  <si>
    <t>https://programassociales.ministeriodesarrollosocial.gob.cl/</t>
  </si>
  <si>
    <t>https://www.senado.cl/site/presupuesto/2017/cumplimiento/Ejecucion/Febrero2017/26.pptx</t>
  </si>
  <si>
    <t>https://www.senado.cl/</t>
  </si>
  <si>
    <t>https://programassociales.ministeriodesarrollosocial.gob.cl/pdf/2018/PRG2018_3_59466.pdf</t>
  </si>
  <si>
    <t>https://programassociales.ministeriodesarrollosocial.gob.cl/programas</t>
  </si>
  <si>
    <t>https://www.dipres.gob.cl/597/articles-170561_doc_xls.xls</t>
  </si>
  <si>
    <t>s.i.</t>
  </si>
  <si>
    <t>https://programassociales.ministeriodesarrollosocial.gob.cl/pdf/2020/PRG2020_3_59464.pdf</t>
  </si>
  <si>
    <t>https://programassociales.ministeriodesarrollosocial.gob.cl/pdf/2020/PRG2020_3_924.pdf</t>
  </si>
  <si>
    <t>https://www.dipres.gob.cl/597/articles-126580_doc_xls.xls</t>
  </si>
  <si>
    <t>https://www.senado.cl/site/presupuesto/2017/cumplimiento/Glosas%202017/primera_subcomision/21%20Des.%20Social/3953SES/Inf%20monitioreo%20cierre%202016/Fundaciones%20(18-7)/Fundaci%C3%B3n%20Integra%20(2-0)/Jardines%20Infantiles%20y%20Salas%20Cuna%20de%20Administraci%C3%B3n%20Directa(Seguimiento).pdf</t>
  </si>
  <si>
    <t>https://www.dipres.gob.cl/597/articles-128407_doc_xls.xls</t>
  </si>
  <si>
    <t>https://www.minsal.cl/campana-mas-medicos-y-especialistas/</t>
  </si>
  <si>
    <t>https://www.dipres.gob.cl/597/articles-96785_doc_xls.xls</t>
  </si>
  <si>
    <t>Consulta 2</t>
  </si>
  <si>
    <t>https://www.dropbox.com/home/Dise%C3%B1o%20DATA's/DATA-EVAL/BD%20Ley%20Presupuesto%20desde%202009</t>
  </si>
  <si>
    <t>Ver Dropbox "BD Ley Presupuesto desde 2009"</t>
  </si>
  <si>
    <t>No todos los programas tienen presupuesto explicito en la Ley de Presupuesto</t>
  </si>
  <si>
    <t>Sin identificar</t>
  </si>
  <si>
    <t>Aplicación del Diseño Curricular y Pedagógico Intercurricular Bilingüe</t>
  </si>
  <si>
    <t>Presupuesto Ley Inicial CLP</t>
  </si>
  <si>
    <t>Presupuesto Ley Inicial USD</t>
  </si>
  <si>
    <t>La RdU es un sistema diseñado en base a una organización piramidal, es  decir, en las bases (representadas por la atención primaria de urgencia, SAPU y SUR) se espera la consulta de baja complejidad pero de mayor volumen. En este nivel todo aquello no resuelto debiera ser derivado a niveles superiores de complejidad</t>
  </si>
  <si>
    <t>Presupuesto Otras fuentes</t>
  </si>
  <si>
    <t>https://programassociales.ministeriodesarrollosocial.gob.cl/pdf/2020/PRG2020_3_63383.pdf</t>
  </si>
  <si>
    <t>https://programassociales.ministeriodesarrollosocial.gob.cl/pdf/2020/PRG2020_3_59465.pdf</t>
  </si>
  <si>
    <t>https://programassociales.ministeriodesarrollosocial.gob.cl/pdf/2020/PRG2020_3_59244.pdf</t>
  </si>
  <si>
    <t>https://programassociales.ministeriodesarrollosocial.gob.cl/pdf/2020/PRG2020_3_5057.pdf</t>
  </si>
  <si>
    <t>https://programassociales.ministeriodesarrollosocial.gob.cl/pdf/2020/PRG2020_3_59470.pdf</t>
  </si>
  <si>
    <t>https://www.senado.cl/site/presupuesto/2018/cumplimiento/Glosas%202018/tercera%20subcomision/16%20Salud/212%20Salud.pdf</t>
  </si>
  <si>
    <t>https://programassociales.ministeriodesarrollosocial.gob.cl/pdf/2018/PRG2018_3_60237.pdf</t>
  </si>
  <si>
    <t>https://www.dipres.gob.cl/597/articles-177369_r_ejecutivo_institucional.pdf</t>
  </si>
  <si>
    <t>https://www.dipres.gob.cl/597/articles-177369_informe_final.pdf</t>
  </si>
  <si>
    <t>https://www.dipres.gob.cl/597/articles-177369_seguimiento_compromisos.pdf</t>
  </si>
  <si>
    <t>https://programassociales.ministeriodesarrollosocial.gob.cl/pdf/2018/PRG2018_3_60236.pdf</t>
  </si>
  <si>
    <t>http://www.doh.cl/Gestion/bgi/Documents/BGI%202018.pdf</t>
  </si>
  <si>
    <t>http://www.doh.cl/Gestion/Paginas/default.aspx</t>
  </si>
  <si>
    <t>https://programassociales.ministeriodesarrollosocial.gob.cl/pdf/2018/PRG2018_3_548.pdf</t>
  </si>
  <si>
    <t>https://programassociales.ministeriodesarrollosocial.gob.cl/pdf/2018/PRG2018_3_59471.pdf</t>
  </si>
  <si>
    <t>https://programassociales.ministeriodesarrollosocial.gob.cl/pdf/2020/PRG2020_3_5059.pdf</t>
  </si>
  <si>
    <t>https://programassociales.ministeriodesarrollosocial.gob.cl/pdf/2020/PRG2020_3_5060.pdf</t>
  </si>
  <si>
    <t>https://programassociales.ministeriodesarrollosocial.gob.cl/pdf/2017/PRG2017_5_1000900.pdf</t>
  </si>
  <si>
    <t>https://programassociales.ministeriodesarrollosocial.gob.cl/pdf/2020/PRG2020_3_62058.pdf</t>
  </si>
  <si>
    <t>https://programassociales.ministeriodesarrollosocial.gob.cl/pdf/2020/PRG2020_4_63172.pdf</t>
  </si>
  <si>
    <t>https://programassociales.ministeriodesarrollosocial.gob.cl/pdf/2015/PRG2015_5_61841.pdf</t>
  </si>
  <si>
    <t>https://www.mercadopublico.cl/Procurement/Modules/RFB/StepsProcessAward/PreviewAwardAct.aspx?qs=9NbHoyxWhKUFU4yb+5vtF3SKZylro6jOzWkBCZvr%2Fvs%3D</t>
  </si>
  <si>
    <t>https://programassociales.ministeriodesarrollosocial.gob.cl/pdf/2015/PRG2015_5_61893.pdf</t>
  </si>
  <si>
    <t>https://programassociales.ministeriodesarrollosocial.gob.cl/pdf/2015/PRG2015_3_1719.pdf</t>
  </si>
  <si>
    <t>https://www.camara.cl/verDoc.aspx?prmID=14609&amp;prmTIPO=INFORMEPLEY</t>
  </si>
  <si>
    <t>https://www.camara.cl/</t>
  </si>
  <si>
    <t>https://www.sename.cl/wsename/otros/03_DOC_PUB_VN/02_Informes_Gestion/Informe%20de%20Gesti%C3%B3n%202010%20Programa%20Vida%20Nueva.pdf</t>
  </si>
  <si>
    <t>https://www.sename.cl/</t>
  </si>
  <si>
    <t>https://www.chiletransparente.cl/wp-content/uploads/2014/03/Ley-de-Presupestos-Gobiernos-Regionales.pdf</t>
  </si>
  <si>
    <t>http://www.dipres.cl/597/articles-74331_doc_pdf.pdf</t>
  </si>
  <si>
    <t>http://www.dipres.cl/</t>
  </si>
  <si>
    <t>https://programassociales.ministeriodesarrollosocial.gob.cl/pdf/2012/PRG2012_3_5002.pdf</t>
  </si>
  <si>
    <t>Presupuesto Data Intelligence CLP</t>
  </si>
  <si>
    <t>Tipo de Cambio expresado en el Presupuesto</t>
  </si>
  <si>
    <t>Presupuesto Data Intelligence USD</t>
  </si>
  <si>
    <t>https://datos.gob.cl/tr/dataset/ley-de-presupuestos-inicial-y-vigente-a-septiembre-de-2020-del-gobierno-central</t>
  </si>
  <si>
    <t>http://www.dipres.gob.cl/597/w3-propertyname-557.html</t>
  </si>
  <si>
    <t>https://si3.bcentral.cl/Siete/ES/Siete/Cuadro/CAP_TIPO_CAMBIO/MN_TIPO_CAMBIO4/DOLAR_OBS_ADO?cbFechaDiaria=2020&amp;cbFrecuencia=ANNUAL&amp;cbCalculo=NONE&amp;cbFechaBase=</t>
  </si>
  <si>
    <t>https://si3.bcentral.cl/siete/</t>
  </si>
  <si>
    <t>1. Dólar observado</t>
  </si>
  <si>
    <t>Categorías de Presupuesto</t>
  </si>
  <si>
    <t>Monto correspondiente a la Ley de Presupuestos Inicial, anual y expresado en pesos</t>
  </si>
  <si>
    <t>Monto correspondiente a la Ley de Presupuestos Inicial, anual y expresado en dólares</t>
  </si>
  <si>
    <t>Monto correspondiente a la Ley de Presupuestos y complementado por otros informes, anual y expresado en pesos</t>
  </si>
  <si>
    <t>Monto correspondiente a la Ley de Presupuestos  y complementado por otros informes, anual y expresado en dólares</t>
  </si>
  <si>
    <t>Promedio</t>
  </si>
  <si>
    <t>Mediana</t>
  </si>
  <si>
    <t>Desviación Estandar</t>
  </si>
  <si>
    <t>Percentil</t>
  </si>
  <si>
    <t>Valor Mínimo USD</t>
  </si>
  <si>
    <t>Abreviatura / Concepto</t>
  </si>
  <si>
    <t>Información</t>
  </si>
  <si>
    <t>Variables auxiliares</t>
  </si>
  <si>
    <t>Archivo Adjunto</t>
  </si>
  <si>
    <t>Ver pestaña "Deflactor"</t>
  </si>
  <si>
    <t>Valor Máximo USD</t>
  </si>
  <si>
    <t>Clases de Presupuesto</t>
  </si>
  <si>
    <t>Nota: no se incluye el valor máximo en cada clase, es una aproximación al valor decimal. Ejm: 1.999.999,99999999 = 2.000.000</t>
  </si>
  <si>
    <t>Más detalle</t>
  </si>
  <si>
    <t>Se  inició  el  año  2001  y  su  objetivo  es  evaluar  la  eficacia  de  un programa   por   medio   del   análisis   de  los   resultados   intermedios   y  finales   en  las   personas beneficiarias.   Para   ello,   se   utilizan   métodos   cuasiexperimentales,   de   acuerdo   con   los requerimientos específicos de la metodología de evaluación de impacto que se utilice. Dado que estas  evaluaciones  requieren  de  una  mayor  investigación  en  terreno  para  levantar  información de   los   programas,   el   proceso   de   evaluación   tiene   una   duración   de   12   a   18   meses aproximadamente.Para  esta  línea  de  evaluación  se  contrata  a  una  entidad  externa,  ya  sea  una  universidad  o consultora, que es seleccionada a partir de una licitación pública.</t>
  </si>
  <si>
    <t>Se  inició  el  año  1997  como  la  primera  línea de  evaluación  del  sistema.  Su objetivo  es  disponer  de  información  que  apoye  la  gestión  de  los programas   públicos   y   el   análisis   de   resultados   en   el   proceso   de asignación   de   recursos.El  proceso  de  evaluación  tiene  una  duración  aproximada  de  seis  meses.  Para estas evaluaciones se llama a un panel evaluador externo e independiente, con experiencia en  evaluación  de  programas  y  con  conocimientos  sobre  el  área  con  el  que se  relaciona  el programa.  Como  base  para  este  tipo  de  evaluación,  la  DIPRES  instruye  al  panel  a  utilizar  la metodología de Marco Lógico (DIPRES, 2015, p. 17), la cual fue elaborada en conjunto entre el o los programas evaluados y el panel.</t>
  </si>
  <si>
    <t>Surgió el año 2002 con el propósito de evaluar el diseño y  la  gestión  institucional,  así  como  los  resultados  y  el  uso  de  recursos  en  la  provisión  de  los productos estratégicos de la institución. El proceso de evaluación tiene una duración aproximada de 8 meses(MINEDUC, 2018).El foco  principal  de  esta  línea  es  evaluar  la  eficacia  de  la  institución  en  la  provisión  de  bienes  y servicios,  en  concordancia  con  sus  objetivos  estratégicos,  e  identificar  mejoras  de  eficiencia  en los procesos más relevantes del quehacer institucional. En términos generales, se  usa  una  metodologíamás  ampliaque  la  usada  en  la  EPG,centrada  en  la institución  como  un todo y no en un programa específico.Esta   línea   emplea   como   antecedentes   básicos   las   definiciones   estratégicas,   la   estructura organizacional  y  el  presupuesto  de  la  institución  a  evaluar,  así  como  también  la  documentación de  los  procesos  de  provisión  de  los  bienes  y servicios,  junto  con  los instrumentos  y  mecanismos mediante los cuales la institución  mide  sus  resultados  en las  distintas  dimensiones  y  ámbitos  de control.</t>
  </si>
  <si>
    <t>La  EPN  comenzó  el  año  2009  y  tiene  como  propósito diseñar  la  evaluación  desde  que  se  planifica  un  nuevo  programa  público,  y  que  incorpora, preferentemente, la construcción de un grupo de control obtenido de forma experimental. En  este  caso,  la  metodología  aplicada  ha  sido  desarrollada  especialmente  para  un  fin,  con  el objeto  de  identificar  y  fundamentar  las  eventuales  brechas  entre  el  diseño  propuesto  y  el efectivo  (implementación).  Por  otra  parte,  revisa  el  estado  de  avance  del  programa  en  cuanto nivel de producción y resultados de corto plazo, así como cuantifica ciertos indicadores de gasto relevante  (gasto  por  beneficiario  o  beneficiaria,  gasto  por  unidad  de  componente,  etc.).  De  esta manera,  una  vez  conocido  en  profundidad  el  diseño  y  la  operación  del  programa,  analiza  la factibilidad  y  pertinencia  de  diseñar  y,  eventualmente,  realizar  una  evaluación  de  impacto.</t>
  </si>
  <si>
    <t>Fue  creada  en  2016  y  pretende  generar  evaluaciones más dinámicas, “capaces de adaptarse y dar respuesta a las múltiples preguntas requeridas para la toma de decisiones,” (DIPRES, 2016, 9). La EFA debería completarse en tres o cuatro meses, un periodo más breve de lo que contemplan las otras líneas. La EFA analiza aspectos específicos referidos a costos, implementación o diseño de la estrategia, y  centra  la  evaluación  en  uno  de  ellos.  En  particular,  el  ámbito  de  implementación  no  ha  sido abordado  por otros  de  los  instrumentos  de  evaluación  de  la  DIPRES,  por  lo  que  se  espera  que esta nueva línea analice un campo que no era considerado previamente.</t>
  </si>
  <si>
    <t>https://www.dipres.gob.cl/598/w3-article-111763.html</t>
  </si>
  <si>
    <t>Segmentación del monto del presupuesto valorado en dólares, de acuerdo a una clasificación en 10 clases, de acuerdo a la tabla de frecuencia y distribución observada durante el período 2009-2020</t>
  </si>
  <si>
    <t>Resultado de la evaluación. Es clasificado por Dipres. No hay una clasificación única ya que las consultoras que evalúan son externas que ganan un proceso de Licitación. De Allí parten diferencias metodológicas que impiden una metodología común para evaluar. una  vez  enviado  el  informe  final  de evaluación  con  la  respuesta institucional   al   Congreso,   la   DIPRES   clasifica   a   los   programas   según   los   resultados   de   la evaluación,  situación  que  define  el  tipo  de  compromisos  que  deberá  asumir  el  programa  y  las consecuencias presupuestarias para el año siguiente</t>
  </si>
  <si>
    <t>Evaluación de Programas e Instituciones</t>
  </si>
  <si>
    <t>Término</t>
  </si>
  <si>
    <t>Abreviatura/Concepto</t>
  </si>
  <si>
    <t xml:space="preserve">Líneas de Evaluación </t>
  </si>
  <si>
    <t>LE</t>
  </si>
  <si>
    <t>A partir del año 2018 se ha redefinido la clasificación de programas en cuatro categorías de desempeño: Buen Desempeño (BD), Desempeño Medio (DM), Desempeño Bajo (DB) y Mal Desempeño (MD).</t>
  </si>
  <si>
    <t xml:space="preserve">Categorías de Desempeño </t>
  </si>
  <si>
    <t xml:space="preserve">La Evaluación de programas e instituciones se realiza abordando 4 Líneas de Evaluación: Evaluación de Impacto de Programas  (EI), Evaluación de gasto Institucional (EGI), Evaluación de Programas Gubernamentales (EPG) y Evaluación Focalizada de Ámbito (EFA). </t>
  </si>
  <si>
    <t xml:space="preserve"> </t>
  </si>
  <si>
    <t>Categorías de Desempeño No Aplica</t>
  </si>
  <si>
    <r>
      <t xml:space="preserve">Tiene como objetivo evaluar el diseño y gestión institucional, así como los resultados y uso de recursos en la provisión de los productos estratégicos de la institución, en función de la hipótesis de causalidad que existe entre los objetivos de la institución, los bienes y servicios que provee, y si los bienes y servicios que provee tienen un costo razonable. Esta línea fue iniciada el año 2002. </t>
    </r>
    <r>
      <rPr>
        <b/>
        <sz val="9"/>
        <color theme="1"/>
        <rFont val="Calibri"/>
        <family val="2"/>
        <scheme val="minor"/>
      </rPr>
      <t>Centrada en la institución como un todo y no en un programa específico.</t>
    </r>
  </si>
  <si>
    <t xml:space="preserve">El objetivo de esta línea es analizar programas en ámbitos específicos que no están siendo priorizados por las otras líneas (EPG, EI y EGI).
Este nuevo instrumento cuenta con 3 ámbitos y la evaluación de cada programa se centra en uno en particular, según sus características y las preguntas que se quieran abordar: (i) Costos, (ii) Implementación y (iii) Diseño de la Estrategia. </t>
  </si>
  <si>
    <t>Los indicadores de desempeño se construyen en función del ámbito de control (Proceso, Producto, Resultado)  y de la dimensión que miden (Eficacia, Eficiencia, Economía y Calidad)</t>
  </si>
  <si>
    <t>BD</t>
  </si>
  <si>
    <t>El programa presenta un buen diseño y buenos resultados a nivel intermedio y final; además de una buena evaluación en los ámbitos de implementación y/o eficiencia. Presenta “Suficiente” en al menos tres ámbitos (incluyendo Diseño y Resultados); y ningún “Insuficiente".</t>
  </si>
  <si>
    <t>DB</t>
  </si>
  <si>
    <t>MD</t>
  </si>
  <si>
    <t>Programa</t>
  </si>
  <si>
    <t>Un programa es un conjunto de actividades necesarias, integradas y articuladas que proveen bienes y/o servicios (productos), tendientes a lograr un objetivo específico en una población determinada, de modo de resolver un problema o atender una necesidad que la afecta. Debe ser fácilmente identificable dentro del ámbito de acción de una o más instituciones públicas. Ello significa que debe llevar asociado un nombre que lo caracterice, una estructura organizacional, un responsable asociado claramente identificable y un presupuesto consistente y pertinente de gastos asociados a los bienes y servicios que produce.</t>
  </si>
  <si>
    <t>http://www.dipres.gob.cl/598/w3-propertyvalue-23088.html</t>
  </si>
  <si>
    <t>El programa presenta una buena evaluación en alguno de los ámbitos de diseño, implementación, eficiencia y/o resultados a nivel intermedio y final. Análisis por Ámbitos tiene 3 posibles resultados: 1) Diseño, Implementación y Eficiencia como “Suficiente” y Resultados “No Concluyente".2) Resultados “Suficiente” en el caso de programas antiguos (más de 5 años); y uno o más “Suficiente” en otros ámbito. 3) Resultados “No concluyente” en el caso de programas nuevos (5 años o menos); y dos o más “Suficiente” en otros ámbitos.</t>
  </si>
  <si>
    <t>El programa presenta resultados a nivel intermedio y final no concluyentes o insuficientes y se advierten debilidades en algunos de los ámbitos de diseño, implementación y/o eficiencia. Análisis por Ámbitos tiene 2 posibles resultados: 1)  Resultados “Insuficiente” o “No Concluyente” en el caso de programas antiguos (más de 5 años); 1 o 2 ámbitos “Insuficiente”. 2) Resultados “Insuficiente” o “No Concluyente” en el caso de programas nuevos (5 años o menos); 2 o más ámbitos “Insuficiente”.</t>
  </si>
  <si>
    <t>EPN corresponde a la línea Evaluación Programas Nuevos que existió entre los años 2009 y 2011. Hoy la evaluación a estos programas ha sido incorporada a la línea de Evaluación de Impacto. En esta línea la metodología utilizada ha sido desarrollada ad hoc, con el objeto de identificar y fundamentar las eventuales brechas entre el diseño propuesto y el efectivo (implementación).</t>
  </si>
  <si>
    <t>Se refiere a que el programa presenta resultados insuficientes y/o muestra debilidades en las dimensiones evaluadas que no le permiten dar cuenta de sus objetivos. Categoría Período 2011-2017.</t>
  </si>
  <si>
    <t>Sin información. Línea EPG, periodo 1997-2000. No se cumplieron los requisitos para validar la evaluación, ya sea por falta de información relevante y/o por el estado de avance en la implementación del programa.</t>
  </si>
  <si>
    <t>Año en que se realizó la evaluación.</t>
  </si>
  <si>
    <t>Programa o Institución evaluado(a).</t>
  </si>
  <si>
    <t>Ministerio responsable del programa evaluado.</t>
  </si>
  <si>
    <t>Unidad administrativa responsable del programa evaluado.</t>
  </si>
  <si>
    <t>Antes  de  iniciar  el  proceso  de  evaluación,  de  acuerdo  con  la  normativa  y  según  el Protocolo  de Acuerdo  del  Congreso  para  la  Ley  de  Presupuesto  Anual,  el  Comité  Interministerial  compuesto por  representantes  de  la  DIPRES,  SEGPRES  y  MDS(MINEDUC,2018),selecciona  los  programas  a evaluar  de  todos  los  servicios  públicos.  El  Congreso,  por  su  parte,  puede  agregar  o  eliminar programas  de  la  lista  que  elabora  el  comité.  Posteriormente,  la  selección  de  programas  es comunicada a los ministerios y programas. Cada evaluación puede considerar un programa o más de uno, en caso de que se estime que hay objetivos comunes entre ellos. El ministro o subsecretario de educación nombra a un coordinador ministerial y envía la nómina de profesionales  que  realizarán  las  funciones  de contrapartes  técnicas en  cada  uno de  los programas seleccionados  para  su  evaluación y  que  han  sido designados  por  las  jefaturas  de  las divisiones correspondientes. Con el objetivo de que la evaluación realizada sea independiente, la DIPRES  efectúa  una  licitación  pública  para  contratar  a  personas  expertas  de  una  institución académica o una consultora, quienes estarán a cargo de elaborar la evaluación. De esta forma, se pretende asegurar que la evaluación se llevea cabo por personas o entidades externas al Estado, y que no tengan conflictos de interés con el o los programas a evaluar. Una  vez  que  los  ministerios  o  servicios  han  sido  informados  y  que  se  ha  definido  quienes  van  a evaluar,   comienza   el   proceso   de   evaluación,   el   que   involucra   en   todo   su   desarrollo   a profesionales del programa, de la coordinación ministerial, de la DIPRES y al panely/o consultora externos. Se elaboran, discuten y consensuan informes sobre el diseño, la gestión administrativa, los indicadores y los resultados del programa evaluado; además, se emiten conclusiones respecto de  la  justificación  y  continuidad  del  programa  a  partir  de  la  evolución  del  diagnóstico  inicial  del problema que le dio origen,y a la capacidad institucional para la gestión del programa. Cuando  ya  ha  sido  elaborada  una  versión  final  del  informe,  el  ministerio  prepara  una  respuesta institucional  mediante  la  cual  puede  ejecutar  los  reparos  u  observaciones  correspondientes  a  la evaluación,  la  que  es  enviada  al  Congreso  Nacional  para  aportar  en  la  discusión  presupuestaria. Luego, los documentos son también puestos a disposición del público en el sitio web de DIPRES. Al  término  de  la  evaluación  y  una  vez  enviado  el  informe  final  de evaluación  con  la  respuesta institucional   al   Congreso,   la   DIPRES   clasifica   a   los   programas   según   los   resultados   de   la evaluación,  situación  que  define  el  tipo  de  compromisos  que  deberá  asumir  el  programa  y  las consecuencias presupuestarias para el año siguiente.</t>
  </si>
  <si>
    <t>Indica si el programa está vigente al año 2020.</t>
  </si>
  <si>
    <t>Fecha en que se inició el programa.</t>
  </si>
  <si>
    <t>Fecha en que se finalizó el programa.</t>
  </si>
  <si>
    <t>Presupuesto del programa contenido en el informe el año de la evaluación.</t>
  </si>
  <si>
    <t>La clasificación 'No Aplica' significa que no se cumplieron los requisitos para validar la evaluación, ya sea por falta de información relevante y/o por el estado de avance en la implementación del programa. A partir de 2018, la clasificación 'No Aplica' ya no se utiliza. En 2020 Si el ámbito no es parte del análisis evaluativo realizado en el marco de la evaluación (sucede en EFA), se identifica como “No Aplica” (N/A).</t>
  </si>
  <si>
    <t>El Programa de Evaluación de programas e instituciones forma parte importante del Sistema de Evaluación y Control de Gestión de la Dirección de Presupuestos, el que provee información de desempeño que apoya la toma de decisiones durante el ciclo presupuestario, mejorando la eficiencia en la asignación y en el uso de los recursos públicos, y con ello la calidad del gasto y la gestión de las instituciones públicas. Las evaluaciones son desarrolladas por consultores externos al sector público.</t>
  </si>
  <si>
    <t>Programas que requieren de pequeños ajustes, tales como perfeccionar sus sistemas de información, monitoreo y seguimiento; precisar algunos aspectos de diseño y/o ajustar procesos administrativos o de gestión interna. Categoría de Desempeño utilizadas en el Período 2000-2010.</t>
  </si>
  <si>
    <t>Programas que requieren incorporar cambios en el diseño de alguno de sus componentes y/o actividades, o en sus procesos de gestión interna (ej: revisar criterios de focalización, implementar sistemas de información que permitan un mejor seguimiento y monitoreo de sus resultados, perfeccionar la coordinación interna y/o externa y fortalecer las capacidades institucionales). Categoría de Desempeño utilizadas en el Período 2000-2010.</t>
  </si>
  <si>
    <t>Programas que requieren reformulaciones o reestructuraciones profundas en su diseño y/o en su estructura organizacional y/o en sus procesos de gestión interna; o completar aspectos sustantivos del diseño necesarios para lograr los objetivos. Categoría de Desempeño utilizadas en el Período 2000-2010.</t>
  </si>
  <si>
    <t>Programas que requieren modificaciones tan sustantivas que equivalen a su reemplazo íntegro; o que finalizan su período de ejecución comprometido y en consideración a sus resultados y/o vigencia del problema que dio origen al programa, no se justifica extenderlo por otro período; o que en atención a sus resultados no mantienen sus asignaciones presupuestarias. Categoría de Desempeño utilizadas en el Período 2000-2010.</t>
  </si>
  <si>
    <t>Programas que en atención a sus objetivos requieren cambio de dependencia institucional hacia el Ministerio o Servicio responsable de la ejecución de la política pública a la que corresponde el programa. Categoría de Desempeño utilizadas en el Período 2000-2010.</t>
  </si>
  <si>
    <t xml:space="preserve">Utilizará la metodología de marco lógico, centrándose en identificar los objetivos de los programas y luego determinar la consistencia de su diseño y resultados con esos objetivos sobre la base, principalmente, de antecedentes e información existentes.
La evaluación considera, al menos, los siguientes focos o ámbitos: justificación del programa; su diseño; los principales aspectos de organización y gestión; y los resultados o desempeño en términos de eficacia, eficiencia y economía. Fue iniciada el año 1997. </t>
  </si>
  <si>
    <t>“Reglamento para el funcionamiento del sistema de evaluación de programas establecido en el artículo 52 del decreto ley nº 1.263, de 1975, orgánico de administración financiera”, Decreto N° 1177, del 17 de diciembre 2003.</t>
  </si>
  <si>
    <t>https://www.bcn.cl/leychile/navegar/imprimir?idNorma=220923&amp;idParte=0</t>
  </si>
  <si>
    <t xml:space="preserve">Dipres (2015). “Evaluación Ex-Post: Conceptos y Metodologías”, disponible en </t>
  </si>
  <si>
    <t>http://www.dipres.gob.cl/594/articles-139847_doc_pdf.pdf</t>
  </si>
  <si>
    <t xml:space="preserve"> Dirección de Presupuestos gobierno de Chile. Resultados de Evaluaciones.</t>
  </si>
  <si>
    <t>Emplea metodologías experimentales o cuasi-experimentales, que permiten evaluar resultados intermedios y finales de un programa o política pública. La evaluación considera, al menos, los siguientes focos o ámbitos: resultados en términos de eficacia a nivel de productos, resultados intermedios y resultados finales; uso de recursos en términos de eficiencia y economía, y mediciones globales del desempeño. A partir de 2018 se reformuló esta línea de evaluación, incorporando dos mecanismos diferentes de selección: el Fondo de Evaluación de Impacto que consiste en un concurso público para que académicos propongan programas a evaluar y por otro lado las evaluaciones de programas piloto, seleccionados por el equipo de DIPRES. Iniciada el año 2001.</t>
  </si>
  <si>
    <t>Categorías de Desempeño s.i</t>
  </si>
  <si>
    <t>Se refiere a que la evaluación no entrega información suficiente que permita obtener resultados concluyentes respecto del desempeño del programa. Categoría de Desempeño utilizadas en el Período 2011-2017.</t>
  </si>
  <si>
    <t>Se refiere a que el programa tiene resultados positivos que dan cuenta de sus objetivos, sin embargo, presenta debilidades en alguna(s) de las dimensiones evaluadas. Categoría de Desempeño utilizadas en el  Período 2011-2017.</t>
  </si>
  <si>
    <t>Mal Desempeño (Rediseño del programa/ 
prescindir del programa)</t>
  </si>
  <si>
    <t>El programa presenta resultados a nivel intermedio y final insuficientes y/o muestra debilidades significativas en el diseño, implementación y/o eficiencia. Resultados “Insuficiente” o “No Concluyente” y ningún ámbito “Suficiente". Categoría de Desempeño utilizadas a partir del año 2018.</t>
  </si>
  <si>
    <t>Finalización o Reemplazo Íntegro del Programa</t>
  </si>
  <si>
    <t>Línea Evaluación - Impacto de Programas</t>
  </si>
  <si>
    <t>Línea Evaluación - Gasto Institucional</t>
  </si>
  <si>
    <t>Línea Evaluación - Programas Gubernamentales</t>
  </si>
  <si>
    <t>Línea Evaluación - Focalizada de Ámbito</t>
  </si>
  <si>
    <t>Línea Evaluación - Programas Nuevos</t>
  </si>
  <si>
    <t>Indicadores de Desempeño</t>
  </si>
  <si>
    <t>https://www.dipres.gob.cl/597/articles-160333_r_ejecutivo_institucional.pdf</t>
  </si>
  <si>
    <t>https://www.dipres.gob.cl/597/articles-160333_informe_final.pdf</t>
  </si>
  <si>
    <t>https://www.dipres.gob.cl/597/articles-160332_r_ejecutivo_institucional.pdf</t>
  </si>
  <si>
    <t>https://www.dipres.gob.cl/597/articles-160332_informe_final.pdf</t>
  </si>
  <si>
    <t>https://www.dipres.gob.cl/597/articles-160331_r_ejecutivo_institucional.pdf</t>
  </si>
  <si>
    <t>https://www.dipres.gob.cl/597/articles-160331_informe_final.pdf</t>
  </si>
  <si>
    <t>https://www.dipres.gob.cl/597/articles-141225_r_ejecutivo_institucional.pdf</t>
  </si>
  <si>
    <t>https://www.dipres.gob.cl/597/articles-141225_informe_final.pdf</t>
  </si>
  <si>
    <t>https://www.dipres.gob.cl/597/articles-141225_seguimiento_compromisos.pdf</t>
  </si>
  <si>
    <t>Detectar  y  superar  brechas  de  mercado  en  relación  al  contenido  de eficiencia energética en el ámbito de la formación, a través del desarrollo y fortalecimiento de capacidades técnicas y profesionales, así como la inclusión de conceptos de eficiencia energética a nivel curricular en la educación formal en sus diferentes niveles</t>
  </si>
  <si>
    <t>Detectar oportunidades de ganancias de eficiencia en el uso de la  energía  en  organizaciones/instituciones  a  través  de  la  realización  de  auditorías  por consultores  validados  que  establezcan  planes  de  acción</t>
  </si>
  <si>
    <t>Promover el desarrollo de sistemas de gestión de energía en organizaciones para alcanzar niveles apropiados de eficiencia energética y facilitar la aplicación de la ISO 50001 para su certificación</t>
  </si>
  <si>
    <t>Facilitar  el  desarrollo  de  políticas  y  normativas  en  el proceso de incorporación de tecnologías energéticas más eficientes a través, entre otras actividades,  de  estudios  y  testeo  de  tecnologías</t>
  </si>
  <si>
    <t>Difundir,  promocionar  y proveer  información  estratégica  y actualizada   en   materia   de   eficiencia   energética   que   permita   a   los   ciudadanos   y ciudadanas  tomar  decisiones  informadas  y  realizar  cambios  de  conducta  en  materia  de eficiencia  energética</t>
  </si>
  <si>
    <t>https://www.dipres.gob.cl/597/articles-141224_r_ejecutivo_institucional.pdf</t>
  </si>
  <si>
    <t>https://www.dipres.gob.cl/597/articles-141224_informe_final.pdf</t>
  </si>
  <si>
    <t>Se  asesora a las técnicas y educadoras de párvulos, a través de  encuentros periódicos de discusión y evaluación de los avances pedagógicos</t>
  </si>
  <si>
    <t>Parvularios,  técnicos  y  educadores  en  lengua  y  cultura  indígena  (ELCI)  capacitados.  Mientras  los  dos  primeros  son  capacitados  en    lengua,  cultura,  arte,  cosmovisión  e  historia  indígena,  los  últimos,  lo  son  en  procesos  pedagógicos</t>
  </si>
  <si>
    <t>educadores  en  lengua  y  cultura  indígena  (ELCI)</t>
  </si>
  <si>
    <t>https://www.dipres.gob.cl/597/articles-139797_r_ejecutivo_institucional.pdf</t>
  </si>
  <si>
    <t>https://www.dipres.gob.cl/597/articles-139797_informe_final.pdf</t>
  </si>
  <si>
    <t>Red de Urgencia</t>
  </si>
  <si>
    <t>Deporte Competitivo</t>
  </si>
  <si>
    <t>Calidad de vida;Rendimiento deportivo;Deporte Competitivo</t>
  </si>
  <si>
    <t>Rendimiento deportivo;Deporte Competitivo</t>
  </si>
  <si>
    <t>Ligas Deportivas Escolares. Participan niños y niñas de 9 a 12 años pertenecientes atodo el sistema escolar, concebidas como la primera instancia competitiva antes de los Juegos Deportivos Escolares</t>
  </si>
  <si>
    <t>uegos Deportivos Escolares.Son competencias escolares orientadas a niñas, niños y jóvenes  de  13  a  18  años del  sistema  escolar,organizadas  en etapas  inter-cursos,  comunales, provinciales,  regionales  y  nacionales</t>
  </si>
  <si>
    <t>Ligas  Deportivas  de  Educación  Superior. Son  competencias deportivas dirigidas a estudiantesde  18  y  más  años,tanto  hombres  como  mujeres  con  matrícula  vigente  enla  educación superior,  incluyendo universidades,  institutos  profesionales,  centros  de  formación  técnica  y  escuelas matrices</t>
  </si>
  <si>
    <t>americano  Escolar. Es  un  evento  competitivo  subcontinental  donde  cada  uno  de los  representantes  de  Chile, escolares en  edades  de  12  a  14  años,  superó  fases  intercursos  en  sus colegios, comunales, provinciales, regionales y finalmente las etapas de finales nacionales de los Juegos Deportivos Escolares</t>
  </si>
  <si>
    <t>Juegos  de  Integración  Andina. Estos juegos,  de  responsabilidad  de  IND  central  y regional,son  encuentros  de  integración  deportiva  para  jóvenesde  12  a  19  añosque  se  realizan anualmente, alternándose el país anfitrión cada año en el marco del "Protocolo de Acuerdo" suscrito por las autoridades deportivas de los distintos países</t>
  </si>
  <si>
    <t>https://www.dipres.gob.cl/597/articles-141223_r_ejecutivo_institucional.pdf</t>
  </si>
  <si>
    <t>https://www.dipres.gob.cl/597/articles-141223_informe_final.pdf</t>
  </si>
  <si>
    <t>Mejorar  la  capacidad  para  generar  ingresos  autónomos  de  la  población  en  situación  de  pobreza,  a través del acceso al financiamiento formal, fortalecimiento de sus competencias y acceso a oportunidades</t>
  </si>
  <si>
    <t>Publicación  de  la  convocatoria  en  un  periódico  de  circulación  nacional.  Las  Bases  de Licitación  Pública  del  Programa  se  disponen gratuitamente  en  el  sitio Web  del  FOSIS</t>
  </si>
  <si>
    <t>proceso  de  evaluación  y  adjudicación  de  la  licitación  pública  a  cargo  de  un  comité  de evaluación,   compuesto   por   funcionarios/as   con   responsabilidad   administrativa,   designados   por   la Subdirección de Gestión de Programas de FOSIS</t>
  </si>
  <si>
    <t>Las  Instituciones  Intermediarias  inician  la  ejecución  de  las  actividades  del  Programa  una  vez  que  se tramita la Resolución que aprueba el contrato. Se entiende por ejecución de las actividades del Programa, el  otorgamiento  de  los  créditos,  su  rendición,  la  presentación  del  certificado  de  pago  y  el  pago  de  los subsidios</t>
  </si>
  <si>
    <t>Las  supervisiones  a  la  ejecución  de  las  actividades  del  contrato  se  realizan  hasta  50  días  posteriores contados  desde  el  término  de  dichas  actividades.  El  programa  podrá  requerir  a  las  Instituciones Intermediarias participantes, antecedentes de las operaciones crediticias cursadas</t>
  </si>
  <si>
    <t>https://www.dipres.gob.cl/597/articles-141222_r_ejecutivo_institucional.pdf</t>
  </si>
  <si>
    <t>https://www.dipres.gob.cl/597/articles-141222_informe_final.pdf</t>
  </si>
  <si>
    <t>https://www.dipres.gob.cl/597/articles-141222_seguimiento_compromisos.pdf</t>
  </si>
  <si>
    <t>entrega  de  un subsidio  a  los  operadores  del  TP  en  zonas  licitadas,  con  el  objeto  de  cubrir  los  menores  pagos  que realizan  los  estudiantes  en  el  uso  del  TP</t>
  </si>
  <si>
    <t>entrega  de  un  subsidio  a  los  operadores  del  TP  en  zonas  no licitadas y cuyos propietarios de buses, minibuses, y trolebuses están inscritos en el registro nacional de servicios de transporte de pasajeros y transportan escolares aun precio rebajado, con el objeto de cubrir esemenor pago que realizan los estudiantes en el uso del TP</t>
  </si>
  <si>
    <t>entrega de un subsidio a quienes deseen renovar sus máquinas, no siendo necesario que tal renovación considere un vehículo nuevo</t>
  </si>
  <si>
    <t>subsidio  al transporte en zonas aisladas se otorga a modos de transporte marítimo, lacustre, fluvial, terrestre, aéreo y ferroviario,  según  sean  las  necesidades  de  la  población  y  podrían  aplicarse  tanto  a  la  oferta  como  a  la demanda respectivamente para asegurar niveles mínimos de acceso</t>
  </si>
  <si>
    <t>Subsidio entregado al transporte público en zonas extremas</t>
  </si>
  <si>
    <t>Subsidio al Transporte Público</t>
  </si>
  <si>
    <t>https://www.dipres.gob.cl/597/articles-141221_r_ejecutivo_institucional.pdf</t>
  </si>
  <si>
    <t>https://www.dipres.gob.cl/597/articles-141221_informe_final.pdf</t>
  </si>
  <si>
    <t>tiene como único componente la entrega de alimentos y se expresa como “embarazadas, nodrizas, menores  de  6  años,  menores  de  18  años  con  enfermedades  debidas  a  errores  innatos  del  metabolismo  y  embarazadas con PKU reciben y consumen alimentos complementarios según sus necesidades específicas”</t>
  </si>
  <si>
    <t>PNAC  Básico: Dirigido a mujeres embarazadas, madres que a amamantan hasta el 6º mes post-parto y menores de 6 años de edad, con diagnóstico nutricional de normalidad, sobrepeso u obesidad</t>
  </si>
  <si>
    <t>PNAC  Refuerzo:  Dirigido  a  mujeres  embarazadas,  madres  que  amamantan  hasta  el  6º  mes  post  parto  diagnosticadas con bajo peso y menores de 6 años de edad desnutridos o en riesgo de desnutrir</t>
  </si>
  <si>
    <t>PNAC  Prematuros:  Destinado  a  prevenir  y/o  recuperar  el  daño  nutricional  de  estos  lactantes.  Entrega  hasta la edad de 12 meses, corregida por edad gestacional, fórmulas especiales destinadas a cubrir la alta demanda nutricional de los prematuros que pesan menos de 1500 gramos de peso al nacer y/o que tienen menos de 32 semanas de gestación</t>
  </si>
  <si>
    <t>PNAC  Enfermedades  Especiales:  Programa  dirigido  a  prevenir  el  retardo  mental  que  produce  esta  patología  metabólica  si  no  es  tratada  oportuna  y  adecuadamente,  mediante  la  entrega  de  sustitutos  lácteos  libres  de  los  aminoácidos  comprometidos  en  la  vía  metabólica  alterada.  Considera  además  a  embarazadas PKU</t>
  </si>
  <si>
    <t>https://www.dipres.gob.cl/597/articles-141220_r_ejecutivo_institucional.pdf</t>
  </si>
  <si>
    <t>https://www.dipres.gob.cl/597/articles-141220_informe_final.pdf</t>
  </si>
  <si>
    <t>https://www.dipres.gob.cl/597/articles-141220_seguimiento_compromisos.pdf</t>
  </si>
  <si>
    <t>Este seguro, con carácter de “obligatorio”, implica que todos los trabajadores, independiente de su condición contractual, se encuentran por defecto protegidos por el Instituto en el caso que éstos no estén contratados por una empresa adherida a una Mutualidad o a una empresa con Administración Delegada</t>
  </si>
  <si>
    <t>acciones de prevención destinadas a mejorar la gestión de  riesgos  y  la  entrega  de  servicios  de  recuperación  de  la  salud  y  mitigación  económica  de  los daños derivados de los accidentes y enfermedades del trabajo</t>
  </si>
  <si>
    <t>Prevención de riesgos:  no  se  identifica  claramente  el objetivo de las acciones que realiza el Instituto, generando un resultado inmediato (fortalecer gestión) e intermedio o de mediano plazo (mejorar la gestión en las empresas)</t>
  </si>
  <si>
    <t>Prestaciones  médicas. El objetivo de este producto no está claramente definido: se identifica claramente lo “que se hace” pero no “para qué”</t>
  </si>
  <si>
    <t>Prestaciones  Económicas: se  agrega  el  subproducto  “Asignación  Familiar  como beneficio  pecuniario  que  se  paga mensualmente a las personas que tienen calidad de beneficiarios(as) cuyo ingreso mensual no exceda del máximo fijado anualmente por Ley</t>
  </si>
  <si>
    <t>reducir las brechas que impiden a las personas encontrar un empleo</t>
  </si>
  <si>
    <t>servicios  para  el desarrollo  del  capital  humano,  recursos  de  movilización  para  la  inserción  laboral, recursos  para  trámites  y  certificaciones,  ayuda  técnicas  básicas  (como  atenciones médicas), apoyo a procesos de postulación a empleos, servicios de guardería infantil y promoción  del  autoempleo  (como  herramientas)</t>
  </si>
  <si>
    <t>jóvenes, preferentemente de entre 18 y 24 años,  desocupados,  inactivos  que  están  disponibles  para  buscar  empleo  o  que desarrollan empleos precarios, mejoren sus condiciones de empleabilidad, a través de la elaboración de un Plan de Inserción Laboral individual que posibilitael acceso al mercado laboral,o bien, a  programas  de  capacitación    y/o  de  emprendimiento  cuando  no  sea posiblela inserción laboral</t>
  </si>
  <si>
    <t>El Plan de Inserción Laboral incluye aspectos como los trabajos anteriores de la persona, sus competencias actuales, redes de apoyo, un diagnóstico de su contexto laboral y los bienes y/o servicios para los cuales requiere financiamiento</t>
  </si>
  <si>
    <t>hombres y mujeres mayores de 18 años de edad, cesantes, desocupados o que desarrollen empleos precarios, en situación de pobreza y/o vulnerabilidad, mejoren sus condiciones de empleabilidad y puedan acceder al mercado laboral a través de un empleo dependiente o independiente</t>
  </si>
  <si>
    <t>https://www.dipres.gob.cl/597/articles-160335_r_ejecutivo_institucional.pdf</t>
  </si>
  <si>
    <t>https://www.dipres.gob.cl/597/articles-160335_informe_final.pdf</t>
  </si>
  <si>
    <t>https://www.dipres.gob.cl/597/articles-160336_r_ejecutivo_institucional.pdf</t>
  </si>
  <si>
    <t>https://www.dipres.gob.cl/597/articles-160336_informe_final.pdf</t>
  </si>
  <si>
    <t>Empleabilidad</t>
  </si>
  <si>
    <t>https://www.dipres.gob.cl/597/articles-160337_r_ejecutivo_institucional.pdf</t>
  </si>
  <si>
    <t>https://www.dipres.gob.cl/597/articles-160337_informe_final.pdf</t>
  </si>
  <si>
    <t>https://www.dipres.gob.cl/597/articles-139793_r_ejecutivo_institucional.pdf</t>
  </si>
  <si>
    <t>https://www.dipres.gob.cl/597/articles-139793_informe_final.pdf</t>
  </si>
  <si>
    <t>https://www.dipres.gob.cl/597/articles-139793_seguimiento_compromisos.pdf</t>
  </si>
  <si>
    <t>Reducir la brecha de demanda oferta a través de la compra a privados de prestaciones  priorizadas  de  salud  que  genera  la  insuficiente  oferta  del  sector  público,  mejorando  la oportunidad en la entrega de éstas</t>
  </si>
  <si>
    <t>Compra de prestación Diálisis: Pacientes con insuficiencia renal crónica terminal reciben  tratamiento  de  diálisis  en  red  de  prestadores  privados.  Este  forma  parte  de  las “Garantías Explícitas en Salud” (GES) del Régimen General de Garantías en Salud</t>
  </si>
  <si>
    <t>Compra  de  camas integrales:FONASA elabora y  gestiona  los  convenios  que permiten laderivación depacientes a centros privados en camas de cuidado intensivo, intermedio y agudobajo el concepto de “cama integral”; la derivación es gestionada por la División de Gestión de Redes de esa Subsecretaríadel Ministerio de Salud (MINSAL),a través de la Unidad de Gestión de Camas Críticas (UGCC)</t>
  </si>
  <si>
    <t>Compra  de  prestaciones Bono AUGE: dirigido a los pacientes beneficiarios de FONASA que reclaman por incumplimiento de garantía de oportunidad GES dentro de los primeros 15  días.  La  normativa  legal  hace recaer sobre  FONASA  la resolución  de  estos reclamos,  la que se realiza  a  través  de  prestadores  privados  si  la  oferta  pública  no  permite  cumplir  con  los  plazos  que para estos efectos establece la ley</t>
  </si>
  <si>
    <t>Compra  de  otras  prestaciones:comprenden  mayoritariamente en  términos  de beneficiarios  y  de gasto, camas  básicas  para pacientes crónicos  y  terminales (socio-sanitarias) con Hogar  de  Cristo,  Fundación  Las  Rosasy  Clínica  La  Familia,  así  como algunos  exámenes  y procedimientos  específicos como radioterapia,  medicina  nuclear  e  imagenología con  instituciones como  Clínica  Alemana  y  Antofagasta,  Sociedad  de  Inversiones  Coyhaique,  Soc.Prof.  Scanner  Sur entre  otras. Se  incluye  en  este  componente  la  Corporación  de  Trasplante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</si>
</sst>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0_ ;_ &quot;$&quot;* \-#,##0_ ;_ &quot;$&quot;* &quot;-&quot;_ ;_ @_ "/>
    <numFmt numFmtId="41" formatCode="_ * #,##0_ ;_ * \-#,##0_ ;_ * &quot;-&quot;_ ;_ @_ "/>
    <numFmt numFmtId="164" formatCode="_-* #,##0_-;\-* #,##0_-;_-* &quot;-&quot;??_-;_-@_-"/>
    <numFmt numFmtId="165" formatCode="[$$-340A]#,##0"/>
    <numFmt numFmtId="166" formatCode="yyyy"/>
    <numFmt numFmtId="167" formatCode="mmm\.yyyy"/>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
      <b/>
      <sz val="18"/>
      <color theme="3"/>
      <name val="Calibri Light"/>
      <family val="2"/>
      <scheme val="major"/>
    </font>
    <font>
      <sz val="11"/>
      <color rgb="FF9C6500"/>
      <name val="Calibri"/>
      <family val="2"/>
      <scheme val="minor"/>
    </font>
    <font>
      <sz val="1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u/>
      <sz val="9"/>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theme="1"/>
      </patternFill>
    </fill>
    <fill>
      <patternFill patternType="solid">
        <fgColor rgb="FFFFFF00"/>
        <bgColor indexed="64"/>
      </patternFill>
    </fill>
    <fill>
      <patternFill patternType="solid">
        <fgColor rgb="FFE0FFFF"/>
        <bgColor indexed="64"/>
      </patternFill>
    </fill>
    <fill>
      <patternFill patternType="solid">
        <fgColor rgb="FF00B0F0"/>
        <bgColor indexed="64"/>
      </patternFill>
    </fill>
    <fill>
      <patternFill patternType="solid">
        <fgColor theme="0" tint="-0.249977111117893"/>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5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19" fillId="0" borderId="0" applyNumberFormat="0" applyFill="0" applyBorder="0" applyAlignment="0" applyProtection="0"/>
    <xf numFmtId="9" fontId="1" fillId="0" borderId="0" applyFont="0" applyFill="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21" fillId="4" borderId="0" applyNumberFormat="0" applyBorder="0" applyAlignment="0" applyProtection="0"/>
    <xf numFmtId="0" fontId="20" fillId="0" borderId="0" applyNumberFormat="0" applyFill="0" applyBorder="0" applyAlignment="0" applyProtection="0"/>
  </cellStyleXfs>
  <cellXfs count="88">
    <xf numFmtId="0" fontId="0" fillId="0" borderId="0" xfId="0"/>
    <xf numFmtId="42" fontId="0" fillId="0" borderId="0" xfId="43" applyFont="1"/>
    <xf numFmtId="41" fontId="0" fillId="0" borderId="0" xfId="42" applyFont="1"/>
    <xf numFmtId="0" fontId="0" fillId="0" borderId="0" xfId="0" applyAlignment="1"/>
    <xf numFmtId="0" fontId="19" fillId="0" borderId="0" xfId="44"/>
    <xf numFmtId="0" fontId="13" fillId="34" borderId="10" xfId="0" applyFont="1" applyFill="1" applyBorder="1"/>
    <xf numFmtId="0" fontId="13" fillId="34" borderId="11" xfId="0" applyFont="1" applyFill="1" applyBorder="1"/>
    <xf numFmtId="0" fontId="17" fillId="33" borderId="0" xfId="0" applyFont="1" applyFill="1" applyAlignment="1"/>
    <xf numFmtId="41" fontId="17" fillId="33" borderId="0" xfId="42" applyFont="1" applyFill="1" applyAlignment="1"/>
    <xf numFmtId="42" fontId="17" fillId="33" borderId="0" xfId="43" applyFont="1" applyFill="1" applyAlignment="1"/>
    <xf numFmtId="165" fontId="0" fillId="0" borderId="0" xfId="43" applyNumberFormat="1" applyFont="1" applyAlignment="1"/>
    <xf numFmtId="0" fontId="19" fillId="0" borderId="0" xfId="44" applyAlignment="1"/>
    <xf numFmtId="164" fontId="0" fillId="0" borderId="0" xfId="42" applyNumberFormat="1" applyFont="1" applyAlignment="1"/>
    <xf numFmtId="41" fontId="0" fillId="0" borderId="0" xfId="42" applyFont="1" applyAlignment="1"/>
    <xf numFmtId="0" fontId="0" fillId="35" borderId="0" xfId="0" applyFill="1" applyAlignment="1"/>
    <xf numFmtId="0" fontId="0" fillId="0" borderId="0" xfId="0" applyAlignment="1">
      <alignment vertical="top"/>
    </xf>
    <xf numFmtId="0" fontId="0" fillId="0" borderId="0" xfId="0" applyAlignment="1">
      <alignment vertical="center"/>
    </xf>
    <xf numFmtId="0" fontId="16" fillId="0" borderId="0" xfId="0" applyFont="1"/>
    <xf numFmtId="0" fontId="0" fillId="36" borderId="12" xfId="0" applyFill="1" applyBorder="1" applyAlignment="1">
      <alignment wrapText="1"/>
    </xf>
    <xf numFmtId="4" fontId="0" fillId="36" borderId="12" xfId="0" applyNumberFormat="1" applyFill="1" applyBorder="1" applyAlignment="1">
      <alignment wrapText="1"/>
    </xf>
    <xf numFmtId="166" fontId="0" fillId="0" borderId="12" xfId="0" applyNumberFormat="1" applyBorder="1" applyAlignment="1">
      <alignment wrapText="1"/>
    </xf>
    <xf numFmtId="4" fontId="0" fillId="0" borderId="12" xfId="0" applyNumberFormat="1" applyBorder="1" applyAlignment="1">
      <alignment wrapText="1"/>
    </xf>
    <xf numFmtId="9" fontId="0" fillId="0" borderId="12" xfId="45" applyFont="1" applyBorder="1" applyAlignment="1">
      <alignment wrapText="1"/>
    </xf>
    <xf numFmtId="167" fontId="0" fillId="0" borderId="12" xfId="0" applyNumberFormat="1" applyBorder="1" applyAlignment="1">
      <alignment wrapText="1"/>
    </xf>
    <xf numFmtId="0" fontId="0" fillId="36" borderId="14" xfId="0" applyFill="1" applyBorder="1" applyAlignment="1"/>
    <xf numFmtId="4" fontId="0" fillId="36" borderId="14" xfId="0" applyNumberFormat="1" applyFill="1" applyBorder="1" applyAlignment="1"/>
    <xf numFmtId="0" fontId="0" fillId="0" borderId="13" xfId="0" applyBorder="1"/>
    <xf numFmtId="14" fontId="0" fillId="0" borderId="13" xfId="0" applyNumberFormat="1" applyBorder="1"/>
    <xf numFmtId="41" fontId="0" fillId="0" borderId="12" xfId="42" applyFont="1" applyBorder="1" applyAlignment="1">
      <alignment wrapText="1"/>
    </xf>
    <xf numFmtId="0" fontId="19" fillId="0" borderId="0" xfId="44" applyFill="1" applyBorder="1" applyAlignment="1"/>
    <xf numFmtId="0" fontId="0" fillId="0" borderId="0" xfId="0" applyFill="1" applyAlignment="1"/>
    <xf numFmtId="165" fontId="0" fillId="0" borderId="0" xfId="43" applyNumberFormat="1" applyFont="1" applyFill="1" applyAlignment="1"/>
    <xf numFmtId="0" fontId="19" fillId="0" borderId="0" xfId="44" applyFill="1" applyAlignment="1"/>
    <xf numFmtId="0" fontId="0" fillId="0" borderId="0" xfId="0" applyFill="1"/>
    <xf numFmtId="165" fontId="0" fillId="35" borderId="0" xfId="43" applyNumberFormat="1" applyFont="1" applyFill="1" applyAlignment="1"/>
    <xf numFmtId="0" fontId="0" fillId="35" borderId="0" xfId="0" applyFill="1"/>
    <xf numFmtId="164" fontId="0" fillId="0" borderId="0" xfId="42" applyNumberFormat="1" applyFont="1" applyFill="1" applyAlignment="1"/>
    <xf numFmtId="41" fontId="0" fillId="0" borderId="0" xfId="42" applyFont="1" applyFill="1" applyAlignment="1"/>
    <xf numFmtId="14" fontId="0" fillId="0" borderId="0" xfId="0" applyNumberFormat="1"/>
    <xf numFmtId="3" fontId="0" fillId="0" borderId="0" xfId="0" applyNumberFormat="1"/>
    <xf numFmtId="41" fontId="0" fillId="38" borderId="0" xfId="42" applyFont="1" applyFill="1"/>
    <xf numFmtId="3" fontId="17" fillId="33" borderId="0" xfId="0" applyNumberFormat="1" applyFont="1" applyFill="1" applyAlignment="1"/>
    <xf numFmtId="3" fontId="0" fillId="0" borderId="0" xfId="0" applyNumberFormat="1" applyFill="1"/>
    <xf numFmtId="3" fontId="0" fillId="35" borderId="0" xfId="0" applyNumberFormat="1" applyFill="1"/>
    <xf numFmtId="41" fontId="0" fillId="35" borderId="0" xfId="42" applyFont="1" applyFill="1"/>
    <xf numFmtId="0" fontId="19" fillId="35" borderId="0" xfId="44" applyFill="1"/>
    <xf numFmtId="165" fontId="0" fillId="0" borderId="0" xfId="0" applyNumberFormat="1" applyFill="1"/>
    <xf numFmtId="41" fontId="0" fillId="0" borderId="0" xfId="0" applyNumberFormat="1"/>
    <xf numFmtId="4" fontId="22" fillId="36" borderId="18" xfId="0" applyNumberFormat="1" applyFont="1" applyFill="1" applyBorder="1" applyAlignment="1">
      <alignment wrapText="1"/>
    </xf>
    <xf numFmtId="0" fontId="22" fillId="36" borderId="17" xfId="0" applyFont="1" applyFill="1" applyBorder="1" applyAlignment="1">
      <alignment wrapText="1"/>
    </xf>
    <xf numFmtId="4" fontId="0" fillId="0" borderId="20" xfId="0" applyNumberFormat="1" applyBorder="1" applyAlignment="1">
      <alignment wrapText="1"/>
    </xf>
    <xf numFmtId="41" fontId="0" fillId="0" borderId="19" xfId="42" applyFont="1" applyBorder="1" applyAlignment="1">
      <alignment wrapText="1"/>
    </xf>
    <xf numFmtId="4" fontId="0" fillId="0" borderId="16" xfId="0" applyNumberFormat="1" applyBorder="1" applyAlignment="1">
      <alignment wrapText="1"/>
    </xf>
    <xf numFmtId="41" fontId="0" fillId="0" borderId="15" xfId="42" applyFont="1" applyBorder="1" applyAlignment="1">
      <alignment wrapText="1"/>
    </xf>
    <xf numFmtId="41" fontId="0" fillId="0" borderId="0" xfId="0" applyNumberFormat="1" applyFill="1"/>
    <xf numFmtId="3" fontId="0" fillId="35" borderId="0" xfId="43" applyNumberFormat="1" applyFont="1" applyFill="1" applyAlignment="1"/>
    <xf numFmtId="165" fontId="0" fillId="35" borderId="0" xfId="0" applyNumberFormat="1" applyFill="1"/>
    <xf numFmtId="0" fontId="0" fillId="0" borderId="0" xfId="0"/>
    <xf numFmtId="0" fontId="16" fillId="0" borderId="0" xfId="0" applyFont="1"/>
    <xf numFmtId="9" fontId="0" fillId="0" borderId="0" xfId="45" applyFont="1"/>
    <xf numFmtId="41" fontId="0" fillId="0" borderId="13" xfId="0" applyNumberFormat="1" applyBorder="1"/>
    <xf numFmtId="9" fontId="0" fillId="0" borderId="13" xfId="45" applyFont="1" applyBorder="1"/>
    <xf numFmtId="0" fontId="17" fillId="33" borderId="13" xfId="0" applyFont="1" applyFill="1" applyBorder="1" applyAlignment="1"/>
    <xf numFmtId="0" fontId="13" fillId="34" borderId="10" xfId="0" applyFont="1" applyFill="1" applyBorder="1" applyAlignment="1">
      <alignment vertical="top"/>
    </xf>
    <xf numFmtId="0" fontId="0" fillId="37" borderId="0" xfId="0" applyFill="1" applyAlignment="1">
      <alignment vertical="top"/>
    </xf>
    <xf numFmtId="0" fontId="19" fillId="0" borderId="0" xfId="44" applyAlignment="1">
      <alignment vertical="top"/>
    </xf>
    <xf numFmtId="0" fontId="13" fillId="34" borderId="10" xfId="0" applyFont="1" applyFill="1" applyBorder="1" applyAlignment="1">
      <alignment vertical="center" wrapText="1"/>
    </xf>
    <xf numFmtId="0" fontId="0" fillId="0" borderId="0" xfId="0" applyFont="1" applyAlignment="1">
      <alignment vertical="center" wrapText="1"/>
    </xf>
    <xf numFmtId="0" fontId="0" fillId="37" borderId="0" xfId="0" applyFont="1" applyFill="1" applyAlignment="1">
      <alignment vertical="center" wrapText="1"/>
    </xf>
    <xf numFmtId="0" fontId="19" fillId="0" borderId="0" xfId="44" applyFont="1" applyAlignment="1">
      <alignment vertical="center" wrapText="1"/>
    </xf>
    <xf numFmtId="0" fontId="13" fillId="34" borderId="11" xfId="0" applyFont="1" applyFill="1" applyBorder="1" applyAlignment="1">
      <alignment vertical="top"/>
    </xf>
    <xf numFmtId="0" fontId="0" fillId="0" borderId="0" xfId="0" applyAlignment="1">
      <alignment vertical="top" wrapText="1"/>
    </xf>
    <xf numFmtId="0" fontId="23" fillId="0" borderId="0" xfId="0" applyFont="1" applyAlignment="1">
      <alignment vertical="center"/>
    </xf>
    <xf numFmtId="0" fontId="23" fillId="0" borderId="0" xfId="0" applyFont="1" applyAlignment="1">
      <alignment vertical="center" wrapText="1"/>
    </xf>
    <xf numFmtId="0" fontId="24" fillId="0" borderId="0" xfId="0" applyFont="1" applyAlignment="1">
      <alignment vertical="center"/>
    </xf>
    <xf numFmtId="0" fontId="24" fillId="0" borderId="0" xfId="0" applyFont="1" applyAlignment="1">
      <alignment vertical="center" wrapText="1"/>
    </xf>
    <xf numFmtId="0" fontId="26" fillId="0" borderId="0" xfId="0" applyFont="1" applyAlignment="1">
      <alignment vertical="center" wrapText="1"/>
    </xf>
    <xf numFmtId="0" fontId="23" fillId="0" borderId="0" xfId="0" applyFont="1" applyAlignment="1">
      <alignment horizontal="center" vertical="center"/>
    </xf>
    <xf numFmtId="0" fontId="23" fillId="0" borderId="0" xfId="0" applyFont="1" applyAlignment="1">
      <alignment horizontal="center" vertical="center" wrapText="1"/>
    </xf>
    <xf numFmtId="0" fontId="27" fillId="0" borderId="0" xfId="44" applyFont="1" applyAlignment="1">
      <alignment vertical="center"/>
    </xf>
    <xf numFmtId="0" fontId="27" fillId="0" borderId="0" xfId="44" applyFont="1"/>
    <xf numFmtId="0" fontId="27" fillId="0" borderId="0" xfId="44" applyFont="1" applyAlignment="1">
      <alignment vertical="center" wrapText="1"/>
    </xf>
    <xf numFmtId="0" fontId="23" fillId="0" borderId="0" xfId="0" applyFont="1" applyFill="1" applyAlignment="1">
      <alignment vertical="center" wrapText="1"/>
    </xf>
    <xf numFmtId="0" fontId="23" fillId="0" borderId="0" xfId="0" applyFont="1" applyFill="1" applyAlignment="1">
      <alignment horizontal="center" vertical="center" wrapText="1"/>
    </xf>
    <xf numFmtId="0" fontId="24" fillId="0" borderId="0" xfId="0" applyFont="1" applyFill="1" applyAlignment="1">
      <alignment vertical="center" wrapText="1"/>
    </xf>
    <xf numFmtId="3" fontId="0" fillId="0" borderId="0" xfId="0" applyNumberFormat="1" applyAlignment="1">
      <alignment horizontal="center" vertical="center"/>
    </xf>
    <xf numFmtId="0" fontId="19" fillId="0" borderId="0" xfId="44" applyAlignment="1">
      <alignment vertical="center"/>
    </xf>
    <xf numFmtId="0" fontId="0" fillId="0" borderId="0" xfId="0" applyAlignment="1">
      <alignment horizontal="center" vertical="top" wrapText="1"/>
    </xf>
  </cellXfs>
  <cellStyles count="5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1 2" xfId="46" xr:uid="{7EFA0405-14C8-4DA4-9179-19D7AF3E2F16}"/>
    <cellStyle name="60% - Énfasis2" xfId="25" builtinId="36" customBuiltin="1"/>
    <cellStyle name="60% - Énfasis2 2" xfId="47" xr:uid="{CF2868C1-1A05-4104-A223-03D16FF3C647}"/>
    <cellStyle name="60% - Énfasis3" xfId="29" builtinId="40" customBuiltin="1"/>
    <cellStyle name="60% - Énfasis3 2" xfId="48" xr:uid="{C8F3DF10-7D8D-44B9-A42B-93853CA0582D}"/>
    <cellStyle name="60% - Énfasis4" xfId="33" builtinId="44" customBuiltin="1"/>
    <cellStyle name="60% - Énfasis4 2" xfId="49" xr:uid="{0105E214-20BF-4485-BAB0-037B885D4F88}"/>
    <cellStyle name="60% - Énfasis5" xfId="37" builtinId="48" customBuiltin="1"/>
    <cellStyle name="60% - Énfasis5 2" xfId="50" xr:uid="{76DE4A43-E990-4049-8483-850B2D56DEC6}"/>
    <cellStyle name="60% - Énfasis6" xfId="41" builtinId="52" customBuiltin="1"/>
    <cellStyle name="60% - Énfasis6 2" xfId="51" xr:uid="{283B55E3-BED8-4C64-AF31-226F64EF67A6}"/>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4" builtinId="8"/>
    <cellStyle name="Incorrecto" xfId="7" builtinId="27" customBuiltin="1"/>
    <cellStyle name="Millares [0]" xfId="42" builtinId="6"/>
    <cellStyle name="Moneda [0]" xfId="43" builtinId="7"/>
    <cellStyle name="Neutral" xfId="8" builtinId="28" customBuiltin="1"/>
    <cellStyle name="Neutral 2" xfId="52" xr:uid="{F084CDAC-BD58-4A7F-A4ED-378173FA2CE6}"/>
    <cellStyle name="Normal" xfId="0" builtinId="0"/>
    <cellStyle name="Notas" xfId="15" builtinId="10" customBuiltin="1"/>
    <cellStyle name="Porcentaje" xfId="45"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ítulo 4" xfId="53" xr:uid="{78036274-2BEB-4690-A939-65B5655A7A09}"/>
    <cellStyle name="Total" xfId="17" builtinId="25" customBuiltin="1"/>
  </cellStyles>
  <dxfs count="6">
    <dxf>
      <numFmt numFmtId="4" formatCode="#,##0.00"/>
      <alignment horizontal="general"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strike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3</xdr:row>
      <xdr:rowOff>0</xdr:rowOff>
    </xdr:from>
    <xdr:to>
      <xdr:col>41</xdr:col>
      <xdr:colOff>55524</xdr:colOff>
      <xdr:row>41</xdr:row>
      <xdr:rowOff>75286</xdr:rowOff>
    </xdr:to>
    <xdr:pic>
      <xdr:nvPicPr>
        <xdr:cNvPr id="2" name="Imagen 1">
          <a:extLst>
            <a:ext uri="{FF2B5EF4-FFF2-40B4-BE49-F238E27FC236}">
              <a16:creationId xmlns:a16="http://schemas.microsoft.com/office/drawing/2014/main" id="{C699A82F-E64A-45EC-BB47-117D0819B42E}"/>
            </a:ext>
          </a:extLst>
        </xdr:cNvPr>
        <xdr:cNvPicPr>
          <a:picLocks noChangeAspect="1"/>
        </xdr:cNvPicPr>
      </xdr:nvPicPr>
      <xdr:blipFill>
        <a:blip xmlns:r="http://schemas.openxmlformats.org/officeDocument/2006/relationships" r:embed="rId1"/>
        <a:stretch>
          <a:fillRect/>
        </a:stretch>
      </xdr:blipFill>
      <xdr:spPr>
        <a:xfrm>
          <a:off x="25146000" y="952500"/>
          <a:ext cx="13009524" cy="7314286"/>
        </a:xfrm>
        <a:prstGeom prst="rect">
          <a:avLst/>
        </a:prstGeom>
      </xdr:spPr>
    </xdr:pic>
    <xdr:clientData/>
  </xdr:twoCellAnchor>
  <xdr:twoCellAnchor editAs="oneCell">
    <xdr:from>
      <xdr:col>42</xdr:col>
      <xdr:colOff>0</xdr:colOff>
      <xdr:row>3</xdr:row>
      <xdr:rowOff>0</xdr:rowOff>
    </xdr:from>
    <xdr:to>
      <xdr:col>59</xdr:col>
      <xdr:colOff>55524</xdr:colOff>
      <xdr:row>41</xdr:row>
      <xdr:rowOff>75286</xdr:rowOff>
    </xdr:to>
    <xdr:pic>
      <xdr:nvPicPr>
        <xdr:cNvPr id="3" name="Imagen 2">
          <a:extLst>
            <a:ext uri="{FF2B5EF4-FFF2-40B4-BE49-F238E27FC236}">
              <a16:creationId xmlns:a16="http://schemas.microsoft.com/office/drawing/2014/main" id="{5F852219-E481-4301-A04C-4A40B33C9119}"/>
            </a:ext>
          </a:extLst>
        </xdr:cNvPr>
        <xdr:cNvPicPr>
          <a:picLocks noChangeAspect="1"/>
        </xdr:cNvPicPr>
      </xdr:nvPicPr>
      <xdr:blipFill>
        <a:blip xmlns:r="http://schemas.openxmlformats.org/officeDocument/2006/relationships" r:embed="rId2"/>
        <a:stretch>
          <a:fillRect/>
        </a:stretch>
      </xdr:blipFill>
      <xdr:spPr>
        <a:xfrm>
          <a:off x="32004000" y="952500"/>
          <a:ext cx="13009524" cy="731428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770351-8B30-4352-A011-CF80AB303596}" name="Tabla1" displayName="Tabla1" ref="BI3:BJ25" totalsRowShown="0" headerRowDxfId="5" headerRowBorderDxfId="4" tableBorderDxfId="3" totalsRowBorderDxfId="2">
  <autoFilter ref="BI3:BJ25" xr:uid="{45542470-2C82-42A1-98A3-EC4E8EA75314}"/>
  <tableColumns count="2">
    <tableColumn id="1" xr3:uid="{E70C03A4-5796-40E5-BF82-E18181BED1A1}" name="Periodo" dataDxfId="1" dataCellStyle="Millares [0]"/>
    <tableColumn id="2" xr3:uid="{1C1BC723-8CFB-475D-9972-CA9829DD33E6}" name="1. Dólar observado"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ipres.gob.cl/597/articles-205716_informe_final.pdf" TargetMode="External"/><Relationship Id="rId21" Type="http://schemas.openxmlformats.org/officeDocument/2006/relationships/hyperlink" Target="https://www.dipres.gob.cl/597/articles-141148_seguimiento_compromisos.pdf" TargetMode="External"/><Relationship Id="rId63" Type="http://schemas.openxmlformats.org/officeDocument/2006/relationships/hyperlink" Target="https://www.dipres.gob.cl/597/articles-189331_r_ejecutivo_institucional.pdf" TargetMode="External"/><Relationship Id="rId159" Type="http://schemas.openxmlformats.org/officeDocument/2006/relationships/hyperlink" Target="https://www.dipres.gob.cl/597/articles-205709_r_ejecutivo_institucional.pdf" TargetMode="External"/><Relationship Id="rId170" Type="http://schemas.openxmlformats.org/officeDocument/2006/relationships/hyperlink" Target="https://www.dipres.gob.cl/597/articles-205715_informe_final.pdf" TargetMode="External"/><Relationship Id="rId226" Type="http://schemas.openxmlformats.org/officeDocument/2006/relationships/hyperlink" Target="https://www.dipres.gob.cl/597/articles-139826_informe_final.pdf" TargetMode="External"/><Relationship Id="rId268" Type="http://schemas.openxmlformats.org/officeDocument/2006/relationships/hyperlink" Target="https://www.dipres.gob.cl/597/articles-141224_informe_final.pdf" TargetMode="External"/><Relationship Id="rId32" Type="http://schemas.openxmlformats.org/officeDocument/2006/relationships/hyperlink" Target="https://www.dipres.gob.cl/597/articles-189324_informe_final.pdf" TargetMode="External"/><Relationship Id="rId74" Type="http://schemas.openxmlformats.org/officeDocument/2006/relationships/hyperlink" Target="https://www.dipres.gob.cl/597/articles-163120_informe_final.pdf" TargetMode="External"/><Relationship Id="rId128" Type="http://schemas.openxmlformats.org/officeDocument/2006/relationships/hyperlink" Target="https://www.dipres.gob.cl/597/articles-160343_informe_final.pdf" TargetMode="External"/><Relationship Id="rId5" Type="http://schemas.openxmlformats.org/officeDocument/2006/relationships/hyperlink" Target="https://www.dipres.gob.cl/597/articles-189325_r_ejecutivo_institucional.pdf" TargetMode="External"/><Relationship Id="rId181" Type="http://schemas.openxmlformats.org/officeDocument/2006/relationships/hyperlink" Target="https://www.dipres.gob.cl/597/articles-141244_informe_final.pdf" TargetMode="External"/><Relationship Id="rId237" Type="http://schemas.openxmlformats.org/officeDocument/2006/relationships/hyperlink" Target="https://www.dipres.gob.cl/597/articles-141219_r_ejecutivo_institucional.pdf" TargetMode="External"/><Relationship Id="rId279" Type="http://schemas.openxmlformats.org/officeDocument/2006/relationships/hyperlink" Target="https://www.dipres.gob.cl/597/articles-141220_informe_final.pdf" TargetMode="External"/><Relationship Id="rId43" Type="http://schemas.openxmlformats.org/officeDocument/2006/relationships/hyperlink" Target="https://www.dipres.gob.cl/597/articles-189328_informe_final.pdf" TargetMode="External"/><Relationship Id="rId139" Type="http://schemas.openxmlformats.org/officeDocument/2006/relationships/hyperlink" Target="https://www.dipres.gob.cl/597/articles-205717_r_ejecutivo_institucional.pdf" TargetMode="External"/><Relationship Id="rId290" Type="http://schemas.openxmlformats.org/officeDocument/2006/relationships/printerSettings" Target="../printerSettings/printerSettings1.bin"/><Relationship Id="rId85" Type="http://schemas.openxmlformats.org/officeDocument/2006/relationships/hyperlink" Target="http://www.dipres.gob.cl/597/articles-163131_r_ejecutivo_institucional.pdf" TargetMode="External"/><Relationship Id="rId150" Type="http://schemas.openxmlformats.org/officeDocument/2006/relationships/hyperlink" Target="https://www.dipres.gob.cl/597/articles-205703_informe_final.pdf" TargetMode="External"/><Relationship Id="rId192" Type="http://schemas.openxmlformats.org/officeDocument/2006/relationships/hyperlink" Target="https://www.dipres.gob.cl/597/articles-141240_r_ejecutivo_institucional.pdf" TargetMode="External"/><Relationship Id="rId206" Type="http://schemas.openxmlformats.org/officeDocument/2006/relationships/hyperlink" Target="https://www.dipres.gob.cl/597/articles-139831_seguimiento_compromisos.pdf" TargetMode="External"/><Relationship Id="rId248" Type="http://schemas.openxmlformats.org/officeDocument/2006/relationships/hyperlink" Target="https://www.dipres.gob.cl/597/articles-160334_informe_final.pdf" TargetMode="External"/><Relationship Id="rId269" Type="http://schemas.openxmlformats.org/officeDocument/2006/relationships/hyperlink" Target="https://www.dipres.gob.cl/597/articles-139797_r_ejecutivo_institucional.pdf" TargetMode="External"/><Relationship Id="rId12" Type="http://schemas.openxmlformats.org/officeDocument/2006/relationships/hyperlink" Target="https://www.dipres.gob.cl/597/articles-189318_r_ejecutivo_institucional.pdf" TargetMode="External"/><Relationship Id="rId33" Type="http://schemas.openxmlformats.org/officeDocument/2006/relationships/hyperlink" Target="https://www.dipres.gob.cl/597/articles-189323_r_ejecutivo_institucional.pdf" TargetMode="External"/><Relationship Id="rId108" Type="http://schemas.openxmlformats.org/officeDocument/2006/relationships/hyperlink" Target="https://www.dipres.gob.cl/597/articles-163126_informe_final.pdf" TargetMode="External"/><Relationship Id="rId129" Type="http://schemas.openxmlformats.org/officeDocument/2006/relationships/hyperlink" Target="https://www.dipres.gob.cl/597/articles-160343_r_ejecutivo_institucional.pdf" TargetMode="External"/><Relationship Id="rId280" Type="http://schemas.openxmlformats.org/officeDocument/2006/relationships/hyperlink" Target="https://www.dipres.gob.cl/597/articles-141220_seguimiento_compromisos.pdf" TargetMode="External"/><Relationship Id="rId54" Type="http://schemas.openxmlformats.org/officeDocument/2006/relationships/hyperlink" Target="https://www.dipres.gob.cl/597/articles-163112_r_ejecutivo_institucional.pdf" TargetMode="External"/><Relationship Id="rId75" Type="http://schemas.openxmlformats.org/officeDocument/2006/relationships/hyperlink" Target="https://www.dipres.gob.cl/597/articles-163120_seguimiento_compromisos.pdf" TargetMode="External"/><Relationship Id="rId96" Type="http://schemas.openxmlformats.org/officeDocument/2006/relationships/hyperlink" Target="https://www.dipres.gob.cl/597/articles-163116_r_ejecutivo_institucional.pdf" TargetMode="External"/><Relationship Id="rId140" Type="http://schemas.openxmlformats.org/officeDocument/2006/relationships/hyperlink" Target="https://www.dipres.gob.cl/597/articles-205717_informe_final.pdf" TargetMode="External"/><Relationship Id="rId161" Type="http://schemas.openxmlformats.org/officeDocument/2006/relationships/hyperlink" Target="https://www.dipres.gob.cl/597/articles-205710_r_ejecutivo_institucional.pdf" TargetMode="External"/><Relationship Id="rId182" Type="http://schemas.openxmlformats.org/officeDocument/2006/relationships/hyperlink" Target="https://www.dipres.gob.cl/597/articles-141244_seguimiento_compromisos.pdf" TargetMode="External"/><Relationship Id="rId217" Type="http://schemas.openxmlformats.org/officeDocument/2006/relationships/hyperlink" Target="https://www.dipres.gob.cl/597/articles-141237_informe_final.pdf" TargetMode="External"/><Relationship Id="rId6" Type="http://schemas.openxmlformats.org/officeDocument/2006/relationships/hyperlink" Target="https://www.dipres.gob.cl/597/articles-189325_informe_final.pdf" TargetMode="External"/><Relationship Id="rId238" Type="http://schemas.openxmlformats.org/officeDocument/2006/relationships/hyperlink" Target="https://www.dipres.gob.cl/597/articles-141219_informe_final.pdf" TargetMode="External"/><Relationship Id="rId259" Type="http://schemas.openxmlformats.org/officeDocument/2006/relationships/hyperlink" Target="https://www.dipres.gob.cl/597/articles-160333_informe_final.pdf" TargetMode="External"/><Relationship Id="rId23" Type="http://schemas.openxmlformats.org/officeDocument/2006/relationships/hyperlink" Target="https://www.dipres.gob.cl/597/articles-141147_informe_final.pdf" TargetMode="External"/><Relationship Id="rId119" Type="http://schemas.openxmlformats.org/officeDocument/2006/relationships/hyperlink" Target="https://www.dipres.gob.cl/597/articles-177353_r_ejecutivo_institucional.pdf" TargetMode="External"/><Relationship Id="rId270" Type="http://schemas.openxmlformats.org/officeDocument/2006/relationships/hyperlink" Target="https://www.dipres.gob.cl/597/articles-139797_informe_final.pdf" TargetMode="External"/><Relationship Id="rId44" Type="http://schemas.openxmlformats.org/officeDocument/2006/relationships/hyperlink" Target="https://www.dipres.gob.cl/597/articles-189329_r_ejecutivo_institucional.pdf" TargetMode="External"/><Relationship Id="rId65" Type="http://schemas.openxmlformats.org/officeDocument/2006/relationships/hyperlink" Target="https://www.dipres.gob.cl/597/articles-189322_r_ejecutivo_institucional.pdf" TargetMode="External"/><Relationship Id="rId86" Type="http://schemas.openxmlformats.org/officeDocument/2006/relationships/hyperlink" Target="http://www.dipres.gob.cl/597/articles-163131_informe_final.pdf" TargetMode="External"/><Relationship Id="rId130" Type="http://schemas.openxmlformats.org/officeDocument/2006/relationships/hyperlink" Target="https://www.dipres.gob.cl/597/articles-160343_informe_final.pdf" TargetMode="External"/><Relationship Id="rId151" Type="http://schemas.openxmlformats.org/officeDocument/2006/relationships/hyperlink" Target="https://www.dipres.gob.cl/597/articles-205702_r_ejecutivo_institucional.pdf" TargetMode="External"/><Relationship Id="rId172" Type="http://schemas.openxmlformats.org/officeDocument/2006/relationships/hyperlink" Target="https://www.dipres.gob.cl/597/articles-189315_informe_final.pdf" TargetMode="External"/><Relationship Id="rId193" Type="http://schemas.openxmlformats.org/officeDocument/2006/relationships/hyperlink" Target="https://www.dipres.gob.cl/597/articles-141240_informe_final.pdf" TargetMode="External"/><Relationship Id="rId207" Type="http://schemas.openxmlformats.org/officeDocument/2006/relationships/hyperlink" Target="https://www.dipres.gob.cl/597/articles-139832_r_ejecutivo_institucional.pdf" TargetMode="External"/><Relationship Id="rId228" Type="http://schemas.openxmlformats.org/officeDocument/2006/relationships/hyperlink" Target="https://www.dipres.gob.cl/597/articles-139791_r_ejecutivo_institucional.pdf" TargetMode="External"/><Relationship Id="rId249" Type="http://schemas.openxmlformats.org/officeDocument/2006/relationships/hyperlink" Target="https://www.dipres.gob.cl/597/articles-141215_r_ejecutivo_institucional.pdf" TargetMode="External"/><Relationship Id="rId13" Type="http://schemas.openxmlformats.org/officeDocument/2006/relationships/hyperlink" Target="https://www.dipres.gob.cl/597/articles-189318_informe_final.pdf" TargetMode="External"/><Relationship Id="rId109" Type="http://schemas.openxmlformats.org/officeDocument/2006/relationships/hyperlink" Target="https://www.dipres.gob.cl/597/articles-163126_seguimiento_compromisos.pdf" TargetMode="External"/><Relationship Id="rId260" Type="http://schemas.openxmlformats.org/officeDocument/2006/relationships/hyperlink" Target="https://www.dipres.gob.cl/597/articles-160332_r_ejecutivo_institucional.pdf" TargetMode="External"/><Relationship Id="rId281" Type="http://schemas.openxmlformats.org/officeDocument/2006/relationships/hyperlink" Target="https://www.dipres.gob.cl/597/articles-160335_r_ejecutivo_institucional.pdf" TargetMode="External"/><Relationship Id="rId34" Type="http://schemas.openxmlformats.org/officeDocument/2006/relationships/hyperlink" Target="https://www.dipres.gob.cl/597/articles-189323_informe_final.pdf" TargetMode="External"/><Relationship Id="rId55" Type="http://schemas.openxmlformats.org/officeDocument/2006/relationships/hyperlink" Target="https://www.dipres.gob.cl/597/articles-163112_informe_final.pdf" TargetMode="External"/><Relationship Id="rId76" Type="http://schemas.openxmlformats.org/officeDocument/2006/relationships/hyperlink" Target="http://www.dipres.gob.cl/597/articles-163119_r_ejecutivo_institucional.pdf" TargetMode="External"/><Relationship Id="rId97" Type="http://schemas.openxmlformats.org/officeDocument/2006/relationships/hyperlink" Target="https://www.dipres.gob.cl/597/articles-163116_informe_final.pdf" TargetMode="External"/><Relationship Id="rId120" Type="http://schemas.openxmlformats.org/officeDocument/2006/relationships/hyperlink" Target="https://www.dipres.gob.cl/597/articles-177353_r_ejecutivo_institucional.pdf" TargetMode="External"/><Relationship Id="rId141" Type="http://schemas.openxmlformats.org/officeDocument/2006/relationships/hyperlink" Target="https://www.dipres.gob.cl/597/articles-205725_r_ejecutivo_institucional.pdf" TargetMode="External"/><Relationship Id="rId7" Type="http://schemas.openxmlformats.org/officeDocument/2006/relationships/hyperlink" Target="https://www.dipres.gob.cl/597/articles-189316_r_ejecutivo_institucional.pdf" TargetMode="External"/><Relationship Id="rId162" Type="http://schemas.openxmlformats.org/officeDocument/2006/relationships/hyperlink" Target="https://www.dipres.gob.cl/597/articles-205710_informe_final.pdf" TargetMode="External"/><Relationship Id="rId183" Type="http://schemas.openxmlformats.org/officeDocument/2006/relationships/hyperlink" Target="https://www.dipres.gob.cl/597/articles-141243_r_ejecutivo_institucional.pdf" TargetMode="External"/><Relationship Id="rId218" Type="http://schemas.openxmlformats.org/officeDocument/2006/relationships/hyperlink" Target="https://www.dipres.gob.cl/597/articles-141237_seguimiento_compromisos.pdf" TargetMode="External"/><Relationship Id="rId239" Type="http://schemas.openxmlformats.org/officeDocument/2006/relationships/hyperlink" Target="https://www.dipres.gob.cl/597/articles-141219_seguimiento_compromisos.pdf" TargetMode="External"/><Relationship Id="rId250" Type="http://schemas.openxmlformats.org/officeDocument/2006/relationships/hyperlink" Target="https://www.dipres.gob.cl/597/articles-141215_informe_final.pdf" TargetMode="External"/><Relationship Id="rId271" Type="http://schemas.openxmlformats.org/officeDocument/2006/relationships/hyperlink" Target="https://www.dipres.gob.cl/597/articles-141223_r_ejecutivo_institucional.pdf" TargetMode="External"/><Relationship Id="rId24" Type="http://schemas.openxmlformats.org/officeDocument/2006/relationships/hyperlink" Target="https://www.dipres.gob.cl/597/articles-141147_seguimiento_compromisos.pdf" TargetMode="External"/><Relationship Id="rId45" Type="http://schemas.openxmlformats.org/officeDocument/2006/relationships/hyperlink" Target="https://www.dipres.gob.cl/597/articles-189329_informe_final.pdf" TargetMode="External"/><Relationship Id="rId66" Type="http://schemas.openxmlformats.org/officeDocument/2006/relationships/hyperlink" Target="https://www.dipres.gob.cl/597/articles-189322_informe_final.pdf" TargetMode="External"/><Relationship Id="rId87" Type="http://schemas.openxmlformats.org/officeDocument/2006/relationships/hyperlink" Target="https://www.dipres.gob.cl/597/articles-163130_r_ejecutivo_institucional.pdf" TargetMode="External"/><Relationship Id="rId110" Type="http://schemas.openxmlformats.org/officeDocument/2006/relationships/hyperlink" Target="https://www.dipres.gob.cl/597/articles-163125_r_ejecutivo_institucional.pdf" TargetMode="External"/><Relationship Id="rId131" Type="http://schemas.openxmlformats.org/officeDocument/2006/relationships/hyperlink" Target="https://www.dipres.gob.cl/597/articles-160343_informe_final.pdf" TargetMode="External"/><Relationship Id="rId152" Type="http://schemas.openxmlformats.org/officeDocument/2006/relationships/hyperlink" Target="https://www.dipres.gob.cl/597/articles-205702_informe_final.pdf" TargetMode="External"/><Relationship Id="rId173" Type="http://schemas.openxmlformats.org/officeDocument/2006/relationships/hyperlink" Target="https://www.dipres.gob.cl/597/articles-187244_r_ejecutivo_institucional.pdf" TargetMode="External"/><Relationship Id="rId194" Type="http://schemas.openxmlformats.org/officeDocument/2006/relationships/hyperlink" Target="https://www.dipres.gob.cl/597/articles-141240_seguimiento_compromisos.pdf" TargetMode="External"/><Relationship Id="rId208" Type="http://schemas.openxmlformats.org/officeDocument/2006/relationships/hyperlink" Target="https://www.dipres.gob.cl/597/articles-139832_informe_final.pdf" TargetMode="External"/><Relationship Id="rId229" Type="http://schemas.openxmlformats.org/officeDocument/2006/relationships/hyperlink" Target="https://www.dipres.gob.cl/597/articles-139791_informe_final.pdf" TargetMode="External"/><Relationship Id="rId240" Type="http://schemas.openxmlformats.org/officeDocument/2006/relationships/hyperlink" Target="https://www.dipres.gob.cl/597/articles-141218_r_ejecutivo_institucional.pdf" TargetMode="External"/><Relationship Id="rId261" Type="http://schemas.openxmlformats.org/officeDocument/2006/relationships/hyperlink" Target="https://www.dipres.gob.cl/597/articles-160332_informe_final.pdf" TargetMode="External"/><Relationship Id="rId14" Type="http://schemas.openxmlformats.org/officeDocument/2006/relationships/hyperlink" Target="https://www.dipres.gob.cl/597/articles-189319_r_ejecutivo_institucional.pdf" TargetMode="External"/><Relationship Id="rId35" Type="http://schemas.openxmlformats.org/officeDocument/2006/relationships/hyperlink" Target="https://www.dipres.gob.cl/597/articles-141132_r_ejecutivo_institucional.pdf" TargetMode="External"/><Relationship Id="rId56" Type="http://schemas.openxmlformats.org/officeDocument/2006/relationships/hyperlink" Target="https://www.dipres.gob.cl/597/articles-163112_seguimiento_compromisos.pdf" TargetMode="External"/><Relationship Id="rId77" Type="http://schemas.openxmlformats.org/officeDocument/2006/relationships/hyperlink" Target="http://www.dipres.gob.cl/597/articles-163119_informe_final.pdf" TargetMode="External"/><Relationship Id="rId100" Type="http://schemas.openxmlformats.org/officeDocument/2006/relationships/hyperlink" Target="https://www.dipres.gob.cl/597/articles-163115_informe_final.pdf" TargetMode="External"/><Relationship Id="rId282" Type="http://schemas.openxmlformats.org/officeDocument/2006/relationships/hyperlink" Target="https://www.dipres.gob.cl/597/articles-160335_informe_final.pdf" TargetMode="External"/><Relationship Id="rId8" Type="http://schemas.openxmlformats.org/officeDocument/2006/relationships/hyperlink" Target="https://www.dipres.gob.cl/597/articles-189316_informe_final.pdf" TargetMode="External"/><Relationship Id="rId98" Type="http://schemas.openxmlformats.org/officeDocument/2006/relationships/hyperlink" Target="https://www.dipres.gob.cl/597/articles-163116_seguimiento_compromisos.pdf" TargetMode="External"/><Relationship Id="rId121" Type="http://schemas.openxmlformats.org/officeDocument/2006/relationships/hyperlink" Target="https://www.dipres.gob.cl/597/articles-139811_r_ejecutivo_institucional.pdf" TargetMode="External"/><Relationship Id="rId142" Type="http://schemas.openxmlformats.org/officeDocument/2006/relationships/hyperlink" Target="https://www.dipres.gob.cl/597/articles-205725_informe_final.pdf" TargetMode="External"/><Relationship Id="rId163" Type="http://schemas.openxmlformats.org/officeDocument/2006/relationships/hyperlink" Target="https://www.dipres.gob.cl/597/articles-205711_r_ejecutivo_institucional.pdf" TargetMode="External"/><Relationship Id="rId184" Type="http://schemas.openxmlformats.org/officeDocument/2006/relationships/hyperlink" Target="https://www.dipres.gob.cl/597/articles-141243_informe_final.pdf" TargetMode="External"/><Relationship Id="rId219" Type="http://schemas.openxmlformats.org/officeDocument/2006/relationships/hyperlink" Target="https://www.dipres.gob.cl/597/articles-141236_r_ejecutivo_institucional.pdf" TargetMode="External"/><Relationship Id="rId230" Type="http://schemas.openxmlformats.org/officeDocument/2006/relationships/hyperlink" Target="https://www.dipres.gob.cl/597/articles-139791_seguimiento_compromisos.pdf" TargetMode="External"/><Relationship Id="rId251" Type="http://schemas.openxmlformats.org/officeDocument/2006/relationships/hyperlink" Target="https://www.dipres.gob.cl/597/articles-141215_seguimiento_compromisos.pdf" TargetMode="External"/><Relationship Id="rId25" Type="http://schemas.openxmlformats.org/officeDocument/2006/relationships/hyperlink" Target="https://www.dipres.gob.cl/597/articles-140962_informe_final.pdf" TargetMode="External"/><Relationship Id="rId46" Type="http://schemas.openxmlformats.org/officeDocument/2006/relationships/hyperlink" Target="https://www.dipres.gob.cl/597/articles-163114_r_ejecutivo_institucional.pdf" TargetMode="External"/><Relationship Id="rId67" Type="http://schemas.openxmlformats.org/officeDocument/2006/relationships/hyperlink" Target="https://www.dipres.gob.cl/597/articles-189322_informe_complementario.pdf" TargetMode="External"/><Relationship Id="rId272" Type="http://schemas.openxmlformats.org/officeDocument/2006/relationships/hyperlink" Target="https://www.dipres.gob.cl/597/articles-141223_informe_final.pdf" TargetMode="External"/><Relationship Id="rId88" Type="http://schemas.openxmlformats.org/officeDocument/2006/relationships/hyperlink" Target="https://www.dipres.gob.cl/597/articles-163130_informe_final.pdf" TargetMode="External"/><Relationship Id="rId111" Type="http://schemas.openxmlformats.org/officeDocument/2006/relationships/hyperlink" Target="https://www.dipres.gob.cl/597/articles-163125_informe_final.pdf" TargetMode="External"/><Relationship Id="rId132" Type="http://schemas.openxmlformats.org/officeDocument/2006/relationships/hyperlink" Target="https://www.dipres.gob.cl/597/articles-160343_informe_final.pdf" TargetMode="External"/><Relationship Id="rId153" Type="http://schemas.openxmlformats.org/officeDocument/2006/relationships/hyperlink" Target="https://www.dipres.gob.cl/597/articles-205701_r_ejecutivo_institucional.pdf" TargetMode="External"/><Relationship Id="rId174" Type="http://schemas.openxmlformats.org/officeDocument/2006/relationships/hyperlink" Target="https://www.dipres.gob.cl/597/articles-187244_informe_final.pdf" TargetMode="External"/><Relationship Id="rId195" Type="http://schemas.openxmlformats.org/officeDocument/2006/relationships/hyperlink" Target="https://www.dipres.gob.cl/597/articles-139827_r_ejecutivo_institucional.pdf" TargetMode="External"/><Relationship Id="rId209" Type="http://schemas.openxmlformats.org/officeDocument/2006/relationships/hyperlink" Target="https://www.dipres.gob.cl/597/articles-139832_seguimiento_compromisos.pdf" TargetMode="External"/><Relationship Id="rId220" Type="http://schemas.openxmlformats.org/officeDocument/2006/relationships/hyperlink" Target="https://www.dipres.gob.cl/597/articles-141236_informe_final.pdf" TargetMode="External"/><Relationship Id="rId241" Type="http://schemas.openxmlformats.org/officeDocument/2006/relationships/hyperlink" Target="https://www.dipres.gob.cl/597/articles-141218_informe_final.pdf" TargetMode="External"/><Relationship Id="rId15" Type="http://schemas.openxmlformats.org/officeDocument/2006/relationships/hyperlink" Target="https://www.dipres.gob.cl/597/articles-189319_informe_final.pdf" TargetMode="External"/><Relationship Id="rId36" Type="http://schemas.openxmlformats.org/officeDocument/2006/relationships/hyperlink" Target="https://www.dipres.gob.cl/597/articles-141132_informe_final.pdf" TargetMode="External"/><Relationship Id="rId57" Type="http://schemas.openxmlformats.org/officeDocument/2006/relationships/hyperlink" Target="https://www.dipres.gob.cl/597/articles-163110_r_ejecutivo_institucional.pdf" TargetMode="External"/><Relationship Id="rId262" Type="http://schemas.openxmlformats.org/officeDocument/2006/relationships/hyperlink" Target="https://www.dipres.gob.cl/597/articles-160331_r_ejecutivo_institucional.pdf" TargetMode="External"/><Relationship Id="rId283" Type="http://schemas.openxmlformats.org/officeDocument/2006/relationships/hyperlink" Target="https://www.dipres.gob.cl/597/articles-160336_r_ejecutivo_institucional.pdf" TargetMode="External"/><Relationship Id="rId78" Type="http://schemas.openxmlformats.org/officeDocument/2006/relationships/hyperlink" Target="http://www.dipres.gob.cl/597/articles-163119_seguimiento_compromisos.pdf" TargetMode="External"/><Relationship Id="rId99" Type="http://schemas.openxmlformats.org/officeDocument/2006/relationships/hyperlink" Target="https://www.dipres.gob.cl/597/articles-163115_r_ejecutivo_institucional.pdf" TargetMode="External"/><Relationship Id="rId101" Type="http://schemas.openxmlformats.org/officeDocument/2006/relationships/hyperlink" Target="https://www.dipres.gob.cl/597/articles-163115_seguimiento_compromisos.pdf" TargetMode="External"/><Relationship Id="rId122" Type="http://schemas.openxmlformats.org/officeDocument/2006/relationships/hyperlink" Target="https://www.dipres.gob.cl/597/articles-139811_informe_final.pdf" TargetMode="External"/><Relationship Id="rId143" Type="http://schemas.openxmlformats.org/officeDocument/2006/relationships/hyperlink" Target="https://www.dipres.gob.cl/597/articles-205708_r_ejecutivo_institucional.pdf" TargetMode="External"/><Relationship Id="rId164" Type="http://schemas.openxmlformats.org/officeDocument/2006/relationships/hyperlink" Target="https://www.dipres.gob.cl/597/articles-205711_informe_final.pdf" TargetMode="External"/><Relationship Id="rId185" Type="http://schemas.openxmlformats.org/officeDocument/2006/relationships/hyperlink" Target="https://www.dipres.gob.cl/597/articles-141243_seguimiento_compromisos.pdf" TargetMode="External"/><Relationship Id="rId9" Type="http://schemas.openxmlformats.org/officeDocument/2006/relationships/hyperlink" Target="https://www.dipres.gob.cl/597/articles-189316_seguimiento_compromisos.pdf" TargetMode="External"/><Relationship Id="rId210" Type="http://schemas.openxmlformats.org/officeDocument/2006/relationships/hyperlink" Target="https://www.dipres.gob.cl/597/articles-139833_r_ejecutivo_institucional.pdf" TargetMode="External"/><Relationship Id="rId26" Type="http://schemas.openxmlformats.org/officeDocument/2006/relationships/hyperlink" Target="https://www.dipres.gob.cl/597/articles-140962_seguimiento_compromisos.pdf" TargetMode="External"/><Relationship Id="rId231" Type="http://schemas.openxmlformats.org/officeDocument/2006/relationships/hyperlink" Target="https://www.dipres.gob.cl/597/articles-139786_r_ejecutivo_institucional.pdf" TargetMode="External"/><Relationship Id="rId252" Type="http://schemas.openxmlformats.org/officeDocument/2006/relationships/hyperlink" Target="https://www.dipres.gob.cl/597/articles-141214_r_ejecutivo_institucional.pdf" TargetMode="External"/><Relationship Id="rId273" Type="http://schemas.openxmlformats.org/officeDocument/2006/relationships/hyperlink" Target="https://www.dipres.gob.cl/597/articles-141222_r_ejecutivo_institucional.pdf" TargetMode="External"/><Relationship Id="rId47" Type="http://schemas.openxmlformats.org/officeDocument/2006/relationships/hyperlink" Target="https://www.dipres.gob.cl/597/articles-163114_informe_final.pdf" TargetMode="External"/><Relationship Id="rId68" Type="http://schemas.openxmlformats.org/officeDocument/2006/relationships/hyperlink" Target="https://www.dipres.gob.cl/597/articles-163122_r_ejecutivo_institucional.pdf" TargetMode="External"/><Relationship Id="rId89" Type="http://schemas.openxmlformats.org/officeDocument/2006/relationships/hyperlink" Target="https://www.dipres.gob.cl/597/articles-163130_seguimiento_compromisos.pdf" TargetMode="External"/><Relationship Id="rId112" Type="http://schemas.openxmlformats.org/officeDocument/2006/relationships/hyperlink" Target="https://www.dipres.gob.cl/597/articles-163125_seguimiento_compromisos.pdf" TargetMode="External"/><Relationship Id="rId133" Type="http://schemas.openxmlformats.org/officeDocument/2006/relationships/hyperlink" Target="https://www.dipres.gob.cl/597/articles-160343_r_ejecutivo_institucional.pdf" TargetMode="External"/><Relationship Id="rId154" Type="http://schemas.openxmlformats.org/officeDocument/2006/relationships/hyperlink" Target="https://www.dipres.gob.cl/597/articles-205701_informe_final.pdf" TargetMode="External"/><Relationship Id="rId175" Type="http://schemas.openxmlformats.org/officeDocument/2006/relationships/hyperlink" Target="https://www.dipres.gob.cl/597/articles-163134_r_ejecutivo_institucional.pdf" TargetMode="External"/><Relationship Id="rId196" Type="http://schemas.openxmlformats.org/officeDocument/2006/relationships/hyperlink" Target="https://www.dipres.gob.cl/597/articles-139827_informe_final.pdf" TargetMode="External"/><Relationship Id="rId200" Type="http://schemas.openxmlformats.org/officeDocument/2006/relationships/hyperlink" Target="https://www.dipres.gob.cl/597/articles-141245_seguimiento_compromisos.pdf" TargetMode="External"/><Relationship Id="rId16" Type="http://schemas.openxmlformats.org/officeDocument/2006/relationships/hyperlink" Target="https://www.dipres.gob.cl/597/articles-189319_seguimiento_compromisos.pdf" TargetMode="External"/><Relationship Id="rId221" Type="http://schemas.openxmlformats.org/officeDocument/2006/relationships/hyperlink" Target="https://www.dipres.gob.cl/597/articles-141236_seguimiento_compromisos.pdf" TargetMode="External"/><Relationship Id="rId242" Type="http://schemas.openxmlformats.org/officeDocument/2006/relationships/hyperlink" Target="https://www.dipres.gob.cl/597/articles-141217_r_ejecutivo_institucional.pdf" TargetMode="External"/><Relationship Id="rId263" Type="http://schemas.openxmlformats.org/officeDocument/2006/relationships/hyperlink" Target="https://www.dipres.gob.cl/597/articles-160331_informe_final.pdf" TargetMode="External"/><Relationship Id="rId284" Type="http://schemas.openxmlformats.org/officeDocument/2006/relationships/hyperlink" Target="https://www.dipres.gob.cl/597/articles-160336_informe_final.pdf" TargetMode="External"/><Relationship Id="rId37" Type="http://schemas.openxmlformats.org/officeDocument/2006/relationships/hyperlink" Target="https://www.dipres.gob.cl/597/articles-141132_seguimiento_compromisos.pdf" TargetMode="External"/><Relationship Id="rId58" Type="http://schemas.openxmlformats.org/officeDocument/2006/relationships/hyperlink" Target="https://www.dipres.gob.cl/597/articles-163110_informe_final.pdf" TargetMode="External"/><Relationship Id="rId79" Type="http://schemas.openxmlformats.org/officeDocument/2006/relationships/hyperlink" Target="http://www.dipres.gob.cl/597/articles-163123_r_ejecutivo_institucional.pdf" TargetMode="External"/><Relationship Id="rId102" Type="http://schemas.openxmlformats.org/officeDocument/2006/relationships/hyperlink" Target="https://www.dipres.gob.cl/597/articles-163128_r_ejecutivo_institucional.pdf" TargetMode="External"/><Relationship Id="rId123" Type="http://schemas.openxmlformats.org/officeDocument/2006/relationships/hyperlink" Target="https://www.dipres.gob.cl/597/articles-139811_seguimiento_compromisos.pdf" TargetMode="External"/><Relationship Id="rId144" Type="http://schemas.openxmlformats.org/officeDocument/2006/relationships/hyperlink" Target="https://www.dipres.gob.cl/597/articles-205708_informe_final.pdf" TargetMode="External"/><Relationship Id="rId90" Type="http://schemas.openxmlformats.org/officeDocument/2006/relationships/hyperlink" Target="https://www.dipres.gob.cl/597/articles-163129_r_ejecutivo_institucional.pdf" TargetMode="External"/><Relationship Id="rId165" Type="http://schemas.openxmlformats.org/officeDocument/2006/relationships/hyperlink" Target="https://www.dipres.gob.cl/597/articles-205712_r_ejecutivo_institucional.pdf" TargetMode="External"/><Relationship Id="rId186" Type="http://schemas.openxmlformats.org/officeDocument/2006/relationships/hyperlink" Target="https://www.dipres.gob.cl/597/articles-141242_r_ejecutivo_institucional.pdf" TargetMode="External"/><Relationship Id="rId211" Type="http://schemas.openxmlformats.org/officeDocument/2006/relationships/hyperlink" Target="https://www.dipres.gob.cl/597/articles-139833_informe_final.pdf" TargetMode="External"/><Relationship Id="rId232" Type="http://schemas.openxmlformats.org/officeDocument/2006/relationships/hyperlink" Target="https://www.dipres.gob.cl/597/articles-139786_informe_final.pdf" TargetMode="External"/><Relationship Id="rId253" Type="http://schemas.openxmlformats.org/officeDocument/2006/relationships/hyperlink" Target="https://www.dipres.gob.cl/597/articles-141214_informe_final.pdf" TargetMode="External"/><Relationship Id="rId274" Type="http://schemas.openxmlformats.org/officeDocument/2006/relationships/hyperlink" Target="https://www.dipres.gob.cl/597/articles-141222_informe_final.pdf" TargetMode="External"/><Relationship Id="rId27" Type="http://schemas.openxmlformats.org/officeDocument/2006/relationships/hyperlink" Target="https://www.dipres.gob.cl/597/articles-139688_r_ejecutivo_institucional.pdf" TargetMode="External"/><Relationship Id="rId48" Type="http://schemas.openxmlformats.org/officeDocument/2006/relationships/hyperlink" Target="https://www.dipres.gob.cl/597/articles-163113_r_ejecutivo_institucional.pdf" TargetMode="External"/><Relationship Id="rId69" Type="http://schemas.openxmlformats.org/officeDocument/2006/relationships/hyperlink" Target="https://www.dipres.gob.cl/597/articles-163122_informe_final.pdf" TargetMode="External"/><Relationship Id="rId113" Type="http://schemas.openxmlformats.org/officeDocument/2006/relationships/hyperlink" Target="https://www.dipres.gob.cl/597/articles-163124_r_ejecutivo_institucional.pdf" TargetMode="External"/><Relationship Id="rId134" Type="http://schemas.openxmlformats.org/officeDocument/2006/relationships/hyperlink" Target="https://www.dipres.gob.cl/597/articles-160343_r_ejecutivo_institucional.pdf" TargetMode="External"/><Relationship Id="rId80" Type="http://schemas.openxmlformats.org/officeDocument/2006/relationships/hyperlink" Target="http://www.dipres.gob.cl/597/articles-163123_informe_final.pdf" TargetMode="External"/><Relationship Id="rId155" Type="http://schemas.openxmlformats.org/officeDocument/2006/relationships/hyperlink" Target="https://www.dipres.gob.cl/597/articles-205707_r_ejecutivo_institucional.pdf" TargetMode="External"/><Relationship Id="rId176" Type="http://schemas.openxmlformats.org/officeDocument/2006/relationships/hyperlink" Target="https://www.dipres.gob.cl/597/articles-163134_informe_final.pdf" TargetMode="External"/><Relationship Id="rId197" Type="http://schemas.openxmlformats.org/officeDocument/2006/relationships/hyperlink" Target="https://www.dipres.gob.cl/597/articles-139827_seguimiento_compromisos.pdf" TargetMode="External"/><Relationship Id="rId201" Type="http://schemas.openxmlformats.org/officeDocument/2006/relationships/hyperlink" Target="https://www.dipres.gob.cl/597/articles-141239_r_ejecutivo_institucional.pdf" TargetMode="External"/><Relationship Id="rId222" Type="http://schemas.openxmlformats.org/officeDocument/2006/relationships/hyperlink" Target="https://www.dipres.gob.cl/597/articles-139819_r_ejecutivo_institucional.pdf" TargetMode="External"/><Relationship Id="rId243" Type="http://schemas.openxmlformats.org/officeDocument/2006/relationships/hyperlink" Target="https://www.dipres.gob.cl/597/articles-141217_informe_final.pdf" TargetMode="External"/><Relationship Id="rId264" Type="http://schemas.openxmlformats.org/officeDocument/2006/relationships/hyperlink" Target="https://www.dipres.gob.cl/597/articles-141225_r_ejecutivo_institucional.pdf" TargetMode="External"/><Relationship Id="rId285" Type="http://schemas.openxmlformats.org/officeDocument/2006/relationships/hyperlink" Target="https://www.dipres.gob.cl/597/articles-160337_r_ejecutivo_institucional.pdf" TargetMode="External"/><Relationship Id="rId17" Type="http://schemas.openxmlformats.org/officeDocument/2006/relationships/hyperlink" Target="https://www.dipres.gob.cl/597/articles-189321_r_ejecutivo_institucional.pdf" TargetMode="External"/><Relationship Id="rId38" Type="http://schemas.openxmlformats.org/officeDocument/2006/relationships/hyperlink" Target="https://www.dipres.gob.cl/597/articles-189326_r_ejecutivo_institucional.pdf" TargetMode="External"/><Relationship Id="rId59" Type="http://schemas.openxmlformats.org/officeDocument/2006/relationships/hyperlink" Target="https://www.dipres.gob.cl/597/articles-163110_seguimiento_compromisos.pdf" TargetMode="External"/><Relationship Id="rId103" Type="http://schemas.openxmlformats.org/officeDocument/2006/relationships/hyperlink" Target="https://www.dipres.gob.cl/597/articles-163128_informe_final.pdf" TargetMode="External"/><Relationship Id="rId124" Type="http://schemas.openxmlformats.org/officeDocument/2006/relationships/hyperlink" Target="https://www.dipres.gob.cl/597/articles-160343_r_ejecutivo_institucional.pdf" TargetMode="External"/><Relationship Id="rId70" Type="http://schemas.openxmlformats.org/officeDocument/2006/relationships/hyperlink" Target="https://www.dipres.gob.cl/597/articles-163121_r_ejecutivo_institucional.pdf" TargetMode="External"/><Relationship Id="rId91" Type="http://schemas.openxmlformats.org/officeDocument/2006/relationships/hyperlink" Target="https://www.dipres.gob.cl/597/articles-163129_informe_final.pdf" TargetMode="External"/><Relationship Id="rId145" Type="http://schemas.openxmlformats.org/officeDocument/2006/relationships/hyperlink" Target="https://www.dipres.gob.cl/597/articles-205705_r_ejecutivo_institucional.pdf" TargetMode="External"/><Relationship Id="rId166" Type="http://schemas.openxmlformats.org/officeDocument/2006/relationships/hyperlink" Target="https://www.dipres.gob.cl/597/articles-205712_informe_final.pdf" TargetMode="External"/><Relationship Id="rId187" Type="http://schemas.openxmlformats.org/officeDocument/2006/relationships/hyperlink" Target="https://www.dipres.gob.cl/597/articles-141242_informe_final.pdf" TargetMode="External"/><Relationship Id="rId1" Type="http://schemas.openxmlformats.org/officeDocument/2006/relationships/hyperlink" Target="https://www.dipres.gob.cl/597/articles-189314_r_ejecutivo_institucional.pdf" TargetMode="External"/><Relationship Id="rId212" Type="http://schemas.openxmlformats.org/officeDocument/2006/relationships/hyperlink" Target="https://www.dipres.gob.cl/597/articles-139833_seguimiento_compromisos.pdf" TargetMode="External"/><Relationship Id="rId233" Type="http://schemas.openxmlformats.org/officeDocument/2006/relationships/hyperlink" Target="https://www.dipres.gob.cl/597/articles-139786_seguimiento_compromisos.pdf" TargetMode="External"/><Relationship Id="rId254" Type="http://schemas.openxmlformats.org/officeDocument/2006/relationships/hyperlink" Target="https://www.dipres.gob.cl/597/articles-141214_seguimiento_compromisos.pdf" TargetMode="External"/><Relationship Id="rId28" Type="http://schemas.openxmlformats.org/officeDocument/2006/relationships/hyperlink" Target="https://www.dipres.gob.cl/597/articles-139688_informe_final.pdf" TargetMode="External"/><Relationship Id="rId49" Type="http://schemas.openxmlformats.org/officeDocument/2006/relationships/hyperlink" Target="https://www.dipres.gob.cl/597/articles-163113_informe_final.pdf" TargetMode="External"/><Relationship Id="rId114" Type="http://schemas.openxmlformats.org/officeDocument/2006/relationships/hyperlink" Target="https://www.dipres.gob.cl/597/articles-163124_informe_final.pdf" TargetMode="External"/><Relationship Id="rId275" Type="http://schemas.openxmlformats.org/officeDocument/2006/relationships/hyperlink" Target="https://www.dipres.gob.cl/597/articles-141222_seguimiento_compromisos.pdf" TargetMode="External"/><Relationship Id="rId60" Type="http://schemas.openxmlformats.org/officeDocument/2006/relationships/hyperlink" Target="https://www.dipres.gob.cl/597/articles-163117_r_ejecutivo_institucional.pdf" TargetMode="External"/><Relationship Id="rId81" Type="http://schemas.openxmlformats.org/officeDocument/2006/relationships/hyperlink" Target="http://www.dipres.gob.cl/597/articles-163123_seguimiento_compromisos.pdf" TargetMode="External"/><Relationship Id="rId135" Type="http://schemas.openxmlformats.org/officeDocument/2006/relationships/hyperlink" Target="https://www.dipres.gob.cl/597/articles-160343_r_ejecutivo_institucional.pdf" TargetMode="External"/><Relationship Id="rId156" Type="http://schemas.openxmlformats.org/officeDocument/2006/relationships/hyperlink" Target="https://www.dipres.gob.cl/597/articles-205707_informe_final.pdf" TargetMode="External"/><Relationship Id="rId177" Type="http://schemas.openxmlformats.org/officeDocument/2006/relationships/hyperlink" Target="https://www.dipres.gob.cl/597/articles-163134_seguimiento_compromisos.pdf" TargetMode="External"/><Relationship Id="rId198" Type="http://schemas.openxmlformats.org/officeDocument/2006/relationships/hyperlink" Target="https://www.dipres.gob.cl/597/articles-141245_r_ejecutivo_institucional.pdf" TargetMode="External"/><Relationship Id="rId202" Type="http://schemas.openxmlformats.org/officeDocument/2006/relationships/hyperlink" Target="https://www.dipres.gob.cl/597/articles-141239_informe_final.pdf" TargetMode="External"/><Relationship Id="rId223" Type="http://schemas.openxmlformats.org/officeDocument/2006/relationships/hyperlink" Target="https://www.dipres.gob.cl/597/articles-139819_informe_final.pdf" TargetMode="External"/><Relationship Id="rId244" Type="http://schemas.openxmlformats.org/officeDocument/2006/relationships/hyperlink" Target="https://www.dipres.gob.cl/597/articles-141217_seguimiento_compromisos.pdf" TargetMode="External"/><Relationship Id="rId18" Type="http://schemas.openxmlformats.org/officeDocument/2006/relationships/hyperlink" Target="https://www.dipres.gob.cl/597/articles-189321_informe_final.pdf" TargetMode="External"/><Relationship Id="rId39" Type="http://schemas.openxmlformats.org/officeDocument/2006/relationships/hyperlink" Target="https://www.dipres.gob.cl/597/articles-189326_informe_final.pdf" TargetMode="External"/><Relationship Id="rId265" Type="http://schemas.openxmlformats.org/officeDocument/2006/relationships/hyperlink" Target="https://www.dipres.gob.cl/597/articles-141225_informe_final.pdf" TargetMode="External"/><Relationship Id="rId286" Type="http://schemas.openxmlformats.org/officeDocument/2006/relationships/hyperlink" Target="https://www.dipres.gob.cl/597/articles-160337_informe_final.pdf" TargetMode="External"/><Relationship Id="rId50" Type="http://schemas.openxmlformats.org/officeDocument/2006/relationships/hyperlink" Target="https://www.dipres.gob.cl/597/articles-163113_seguimiento_compromisos.pdf" TargetMode="External"/><Relationship Id="rId104" Type="http://schemas.openxmlformats.org/officeDocument/2006/relationships/hyperlink" Target="https://www.dipres.gob.cl/597/articles-163128_seguimiento_compromisos.pdf" TargetMode="External"/><Relationship Id="rId125" Type="http://schemas.openxmlformats.org/officeDocument/2006/relationships/hyperlink" Target="https://www.dipres.gob.cl/597/articles-160343_informe_final.pdf" TargetMode="External"/><Relationship Id="rId146" Type="http://schemas.openxmlformats.org/officeDocument/2006/relationships/hyperlink" Target="https://www.dipres.gob.cl/597/articles-205705_informe_final.pdf" TargetMode="External"/><Relationship Id="rId167" Type="http://schemas.openxmlformats.org/officeDocument/2006/relationships/hyperlink" Target="https://www.dipres.gob.cl/597/articles-205713_informe_final.pdf" TargetMode="External"/><Relationship Id="rId188" Type="http://schemas.openxmlformats.org/officeDocument/2006/relationships/hyperlink" Target="https://www.dipres.gob.cl/597/articles-141242_seguimiento_compromisos.pdf" TargetMode="External"/><Relationship Id="rId71" Type="http://schemas.openxmlformats.org/officeDocument/2006/relationships/hyperlink" Target="https://www.dipres.gob.cl/597/articles-163121_informe_final.pdf" TargetMode="External"/><Relationship Id="rId92" Type="http://schemas.openxmlformats.org/officeDocument/2006/relationships/hyperlink" Target="https://www.dipres.gob.cl/597/articles-163129_seguimiento_compromisos.pdf" TargetMode="External"/><Relationship Id="rId213" Type="http://schemas.openxmlformats.org/officeDocument/2006/relationships/hyperlink" Target="https://www.dipres.gob.cl/597/articles-141238_r_ejecutivo_institucional.pdf" TargetMode="External"/><Relationship Id="rId234" Type="http://schemas.openxmlformats.org/officeDocument/2006/relationships/hyperlink" Target="https://www.dipres.gob.cl/597/articles-139784_r_ejecutivo_institucional.pdf" TargetMode="External"/><Relationship Id="rId2" Type="http://schemas.openxmlformats.org/officeDocument/2006/relationships/hyperlink" Target="https://www.dipres.gob.cl/597/articles-189314_informe_final.pdf" TargetMode="External"/><Relationship Id="rId29" Type="http://schemas.openxmlformats.org/officeDocument/2006/relationships/hyperlink" Target="https://www.dipres.gob.cl/597/articles-189330_r_ejecutivo_institucional.pdf" TargetMode="External"/><Relationship Id="rId255" Type="http://schemas.openxmlformats.org/officeDocument/2006/relationships/hyperlink" Target="https://www.dipres.gob.cl/597/articles-177369_r_ejecutivo_institucional.pdf" TargetMode="External"/><Relationship Id="rId276" Type="http://schemas.openxmlformats.org/officeDocument/2006/relationships/hyperlink" Target="https://www.dipres.gob.cl/597/articles-141221_r_ejecutivo_institucional.pdf" TargetMode="External"/><Relationship Id="rId40" Type="http://schemas.openxmlformats.org/officeDocument/2006/relationships/hyperlink" Target="https://www.dipres.gob.cl/597/articles-189327_r_ejecutivo_institucional.pdf" TargetMode="External"/><Relationship Id="rId115" Type="http://schemas.openxmlformats.org/officeDocument/2006/relationships/hyperlink" Target="https://www.dipres.gob.cl/597/articles-163124_seguimiento_compromisos.pdf" TargetMode="External"/><Relationship Id="rId136" Type="http://schemas.openxmlformats.org/officeDocument/2006/relationships/hyperlink" Target="https://www.dipres.gob.cl/597/articles-141177_r_ejecutivo_institucional.pdf" TargetMode="External"/><Relationship Id="rId157" Type="http://schemas.openxmlformats.org/officeDocument/2006/relationships/hyperlink" Target="https://www.dipres.gob.cl/597/articles-205706_r_ejecutivo_institucional.pdf" TargetMode="External"/><Relationship Id="rId178" Type="http://schemas.openxmlformats.org/officeDocument/2006/relationships/hyperlink" Target="https://www.dipres.gob.cl/597/articles-175242_r_ejecutivo_institucional.pdf" TargetMode="External"/><Relationship Id="rId61" Type="http://schemas.openxmlformats.org/officeDocument/2006/relationships/hyperlink" Target="https://www.dipres.gob.cl/597/articles-163117_informe_final.pdf" TargetMode="External"/><Relationship Id="rId82" Type="http://schemas.openxmlformats.org/officeDocument/2006/relationships/hyperlink" Target="http://www.dipres.gob.cl/597/articles-163132_r_ejecutivo_institucional.pdf" TargetMode="External"/><Relationship Id="rId199" Type="http://schemas.openxmlformats.org/officeDocument/2006/relationships/hyperlink" Target="https://www.dipres.gob.cl/597/articles-141245_informe_final.pdf" TargetMode="External"/><Relationship Id="rId203" Type="http://schemas.openxmlformats.org/officeDocument/2006/relationships/hyperlink" Target="https://www.dipres.gob.cl/597/articles-141239_seguimiento_compromisos.pdf" TargetMode="External"/><Relationship Id="rId19" Type="http://schemas.openxmlformats.org/officeDocument/2006/relationships/hyperlink" Target="https://www.dipres.gob.cl/597/articles-141148_r_ejecutivo_institucional.pdf" TargetMode="External"/><Relationship Id="rId224" Type="http://schemas.openxmlformats.org/officeDocument/2006/relationships/hyperlink" Target="https://www.dipres.gob.cl/597/articles-139819_seguimiento_compromisos.pdf" TargetMode="External"/><Relationship Id="rId245" Type="http://schemas.openxmlformats.org/officeDocument/2006/relationships/hyperlink" Target="https://www.dipres.gob.cl/597/articles-141216_r_ejecutivo_institucional.pdf" TargetMode="External"/><Relationship Id="rId266" Type="http://schemas.openxmlformats.org/officeDocument/2006/relationships/hyperlink" Target="https://www.dipres.gob.cl/597/articles-141225_seguimiento_compromisos.pdf" TargetMode="External"/><Relationship Id="rId287" Type="http://schemas.openxmlformats.org/officeDocument/2006/relationships/hyperlink" Target="https://www.dipres.gob.cl/597/articles-139793_r_ejecutivo_institucional.pdf" TargetMode="External"/><Relationship Id="rId30" Type="http://schemas.openxmlformats.org/officeDocument/2006/relationships/hyperlink" Target="https://www.dipres.gob.cl/597/articles-189330_informe_final.pdf" TargetMode="External"/><Relationship Id="rId105" Type="http://schemas.openxmlformats.org/officeDocument/2006/relationships/hyperlink" Target="https://www.dipres.gob.cl/597/articles-163127_r_ejecutivo_institucional.pdf" TargetMode="External"/><Relationship Id="rId126" Type="http://schemas.openxmlformats.org/officeDocument/2006/relationships/hyperlink" Target="https://www.dipres.gob.cl/597/articles-160343_informe_final.pdf" TargetMode="External"/><Relationship Id="rId147" Type="http://schemas.openxmlformats.org/officeDocument/2006/relationships/hyperlink" Target="https://www.dipres.gob.cl/597/articles-205704_r_ejecutivo_institucional.pdf" TargetMode="External"/><Relationship Id="rId168" Type="http://schemas.openxmlformats.org/officeDocument/2006/relationships/hyperlink" Target="https://www.dipres.gob.cl/597/articles-205713_r_ejecutivo_institucional.pdf" TargetMode="External"/><Relationship Id="rId51" Type="http://schemas.openxmlformats.org/officeDocument/2006/relationships/hyperlink" Target="https://www.dipres.gob.cl/597/articles-163111_r_ejecutivo_institucional.pdf" TargetMode="External"/><Relationship Id="rId72" Type="http://schemas.openxmlformats.org/officeDocument/2006/relationships/hyperlink" Target="https://www.dipres.gob.cl/597/articles-163121_seguimiento_compromisos.pdf" TargetMode="External"/><Relationship Id="rId93" Type="http://schemas.openxmlformats.org/officeDocument/2006/relationships/hyperlink" Target="https://www.dipres.gob.cl/597/articles-163118_r_ejecutivo_institucional.pdf" TargetMode="External"/><Relationship Id="rId189" Type="http://schemas.openxmlformats.org/officeDocument/2006/relationships/hyperlink" Target="https://www.dipres.gob.cl/597/articles-141241_r_ejecutivo_institucional.pdf" TargetMode="External"/><Relationship Id="rId3" Type="http://schemas.openxmlformats.org/officeDocument/2006/relationships/hyperlink" Target="https://www.dipres.gob.cl/597/articles-189314_r_ejecutivo_institucional.pdf" TargetMode="External"/><Relationship Id="rId214" Type="http://schemas.openxmlformats.org/officeDocument/2006/relationships/hyperlink" Target="https://www.dipres.gob.cl/597/articles-141238_informe_final.pdf" TargetMode="External"/><Relationship Id="rId235" Type="http://schemas.openxmlformats.org/officeDocument/2006/relationships/hyperlink" Target="https://www.dipres.gob.cl/597/articles-139784_informe_final.pdf" TargetMode="External"/><Relationship Id="rId256" Type="http://schemas.openxmlformats.org/officeDocument/2006/relationships/hyperlink" Target="https://www.dipres.gob.cl/597/articles-177369_informe_final.pdf" TargetMode="External"/><Relationship Id="rId277" Type="http://schemas.openxmlformats.org/officeDocument/2006/relationships/hyperlink" Target="https://www.dipres.gob.cl/597/articles-141221_informe_final.pdf" TargetMode="External"/><Relationship Id="rId116" Type="http://schemas.openxmlformats.org/officeDocument/2006/relationships/hyperlink" Target="https://www.dipres.gob.cl/597/articles-205716_r_ejecutivo_institucional.pdf" TargetMode="External"/><Relationship Id="rId137" Type="http://schemas.openxmlformats.org/officeDocument/2006/relationships/hyperlink" Target="https://www.dipres.gob.cl/597/articles-141177_informe_final.pdf" TargetMode="External"/><Relationship Id="rId158" Type="http://schemas.openxmlformats.org/officeDocument/2006/relationships/hyperlink" Target="https://www.dipres.gob.cl/597/articles-205706_informe_final.pdf" TargetMode="External"/><Relationship Id="rId20" Type="http://schemas.openxmlformats.org/officeDocument/2006/relationships/hyperlink" Target="https://www.dipres.gob.cl/597/articles-141148_informe_final.pdf" TargetMode="External"/><Relationship Id="rId41" Type="http://schemas.openxmlformats.org/officeDocument/2006/relationships/hyperlink" Target="https://www.dipres.gob.cl/597/articles-189327_informe_final.pdf" TargetMode="External"/><Relationship Id="rId62" Type="http://schemas.openxmlformats.org/officeDocument/2006/relationships/hyperlink" Target="https://www.dipres.gob.cl/597/articles-163117_seguimiento_compromisos.pdf" TargetMode="External"/><Relationship Id="rId83" Type="http://schemas.openxmlformats.org/officeDocument/2006/relationships/hyperlink" Target="http://www.dipres.gob.cl/597/articles-163132_informe_final.pdf" TargetMode="External"/><Relationship Id="rId179" Type="http://schemas.openxmlformats.org/officeDocument/2006/relationships/hyperlink" Target="https://www.dipres.gob.cl/597/articles-175242_informe_final.pdf" TargetMode="External"/><Relationship Id="rId190" Type="http://schemas.openxmlformats.org/officeDocument/2006/relationships/hyperlink" Target="https://www.dipres.gob.cl/597/articles-141241_informe_final.pdf" TargetMode="External"/><Relationship Id="rId204" Type="http://schemas.openxmlformats.org/officeDocument/2006/relationships/hyperlink" Target="https://www.dipres.gob.cl/597/articles-139831_r_ejecutivo_institucional.pdf" TargetMode="External"/><Relationship Id="rId225" Type="http://schemas.openxmlformats.org/officeDocument/2006/relationships/hyperlink" Target="https://www.dipres.gob.cl/597/articles-139826_r_ejecutivo_institucional.pdf" TargetMode="External"/><Relationship Id="rId246" Type="http://schemas.openxmlformats.org/officeDocument/2006/relationships/hyperlink" Target="https://www.dipres.gob.cl/597/articles-141216_informe_final.pdf" TargetMode="External"/><Relationship Id="rId267" Type="http://schemas.openxmlformats.org/officeDocument/2006/relationships/hyperlink" Target="https://www.dipres.gob.cl/597/articles-141224_r_ejecutivo_institucional.pdf" TargetMode="External"/><Relationship Id="rId288" Type="http://schemas.openxmlformats.org/officeDocument/2006/relationships/hyperlink" Target="https://www.dipres.gob.cl/597/articles-139793_informe_final.pdf" TargetMode="External"/><Relationship Id="rId106" Type="http://schemas.openxmlformats.org/officeDocument/2006/relationships/hyperlink" Target="https://www.dipres.gob.cl/597/articles-163127_informe_final.pdf" TargetMode="External"/><Relationship Id="rId127" Type="http://schemas.openxmlformats.org/officeDocument/2006/relationships/hyperlink" Target="https://www.dipres.gob.cl/597/articles-160343_r_ejecutivo_institucional.pdf" TargetMode="External"/><Relationship Id="rId10" Type="http://schemas.openxmlformats.org/officeDocument/2006/relationships/hyperlink" Target="https://www.dipres.gob.cl/597/articles-189317_r_ejecutivo_institucional.pdf" TargetMode="External"/><Relationship Id="rId31" Type="http://schemas.openxmlformats.org/officeDocument/2006/relationships/hyperlink" Target="https://www.dipres.gob.cl/597/articles-189324_r_ejecutivo_institucional.pdf" TargetMode="External"/><Relationship Id="rId52" Type="http://schemas.openxmlformats.org/officeDocument/2006/relationships/hyperlink" Target="https://www.dipres.gob.cl/597/articles-163111_informe_final.pdf" TargetMode="External"/><Relationship Id="rId73" Type="http://schemas.openxmlformats.org/officeDocument/2006/relationships/hyperlink" Target="https://www.dipres.gob.cl/597/articles-163120_r_ejecutivo_institucional.pdf" TargetMode="External"/><Relationship Id="rId94" Type="http://schemas.openxmlformats.org/officeDocument/2006/relationships/hyperlink" Target="https://www.dipres.gob.cl/597/articles-163118_informe_final.pdf" TargetMode="External"/><Relationship Id="rId148" Type="http://schemas.openxmlformats.org/officeDocument/2006/relationships/hyperlink" Target="https://www.dipres.gob.cl/597/articles-205704_informe_final.pdf" TargetMode="External"/><Relationship Id="rId169" Type="http://schemas.openxmlformats.org/officeDocument/2006/relationships/hyperlink" Target="https://www.dipres.gob.cl/597/articles-205715_r_ejecutivo_institucional.pdf" TargetMode="External"/><Relationship Id="rId4" Type="http://schemas.openxmlformats.org/officeDocument/2006/relationships/hyperlink" Target="https://www.dipres.gob.cl/597/articles-189314_informe_final.pdf" TargetMode="External"/><Relationship Id="rId180" Type="http://schemas.openxmlformats.org/officeDocument/2006/relationships/hyperlink" Target="https://www.dipres.gob.cl/597/articles-141244_r_ejecutivo_institucional.pdf" TargetMode="External"/><Relationship Id="rId215" Type="http://schemas.openxmlformats.org/officeDocument/2006/relationships/hyperlink" Target="https://www.dipres.gob.cl/597/articles-141238_seguimiento_compromisos.pdf" TargetMode="External"/><Relationship Id="rId236" Type="http://schemas.openxmlformats.org/officeDocument/2006/relationships/hyperlink" Target="https://www.dipres.gob.cl/597/articles-139784_seguimiento_compromisos.pdf" TargetMode="External"/><Relationship Id="rId257" Type="http://schemas.openxmlformats.org/officeDocument/2006/relationships/hyperlink" Target="https://www.dipres.gob.cl/597/articles-177369_seguimiento_compromisos.pdf" TargetMode="External"/><Relationship Id="rId278" Type="http://schemas.openxmlformats.org/officeDocument/2006/relationships/hyperlink" Target="https://www.dipres.gob.cl/597/articles-141220_r_ejecutivo_institucional.pdf" TargetMode="External"/><Relationship Id="rId42" Type="http://schemas.openxmlformats.org/officeDocument/2006/relationships/hyperlink" Target="https://www.dipres.gob.cl/597/articles-189328_r_ejecutivo_institucional.pdf" TargetMode="External"/><Relationship Id="rId84" Type="http://schemas.openxmlformats.org/officeDocument/2006/relationships/hyperlink" Target="http://www.dipres.gob.cl/597/articles-163132_seguimiento_compromisos.pdf" TargetMode="External"/><Relationship Id="rId138" Type="http://schemas.openxmlformats.org/officeDocument/2006/relationships/hyperlink" Target="https://www.dipres.gob.cl/597/articles-141177_seguimiento_compromisos.pdf" TargetMode="External"/><Relationship Id="rId191" Type="http://schemas.openxmlformats.org/officeDocument/2006/relationships/hyperlink" Target="https://www.dipres.gob.cl/597/articles-141241_seguimiento_compromisos.pdf" TargetMode="External"/><Relationship Id="rId205" Type="http://schemas.openxmlformats.org/officeDocument/2006/relationships/hyperlink" Target="https://www.dipres.gob.cl/597/articles-139831_informe_final.pdf" TargetMode="External"/><Relationship Id="rId247" Type="http://schemas.openxmlformats.org/officeDocument/2006/relationships/hyperlink" Target="https://www.dipres.gob.cl/597/articles-160334_r_ejecutivo_institucional.pdf" TargetMode="External"/><Relationship Id="rId107" Type="http://schemas.openxmlformats.org/officeDocument/2006/relationships/hyperlink" Target="https://www.dipres.gob.cl/597/articles-163126_r_ejecutivo_institucional.pdf" TargetMode="External"/><Relationship Id="rId289" Type="http://schemas.openxmlformats.org/officeDocument/2006/relationships/hyperlink" Target="https://www.dipres.gob.cl/597/articles-139793_seguimiento_compromisos.pdf" TargetMode="External"/><Relationship Id="rId11" Type="http://schemas.openxmlformats.org/officeDocument/2006/relationships/hyperlink" Target="https://www.dipres.gob.cl/597/articles-189317_informe_final.pdf" TargetMode="External"/><Relationship Id="rId53" Type="http://schemas.openxmlformats.org/officeDocument/2006/relationships/hyperlink" Target="https://www.dipres.gob.cl/597/articles-163111_seguimiento_compromisos.pdf" TargetMode="External"/><Relationship Id="rId149" Type="http://schemas.openxmlformats.org/officeDocument/2006/relationships/hyperlink" Target="https://www.dipres.gob.cl/597/articles-205703_r_ejecutivo_institucional.pdf" TargetMode="External"/><Relationship Id="rId95" Type="http://schemas.openxmlformats.org/officeDocument/2006/relationships/hyperlink" Target="https://www.dipres.gob.cl/597/articles-163118_seguimiento_compromisos.pdf" TargetMode="External"/><Relationship Id="rId160" Type="http://schemas.openxmlformats.org/officeDocument/2006/relationships/hyperlink" Target="https://www.dipres.gob.cl/597/articles-205709_informe_final.pdf" TargetMode="External"/><Relationship Id="rId216" Type="http://schemas.openxmlformats.org/officeDocument/2006/relationships/hyperlink" Target="https://www.dipres.gob.cl/597/articles-141237_r_ejecutivo_institucional.pdf" TargetMode="External"/><Relationship Id="rId258" Type="http://schemas.openxmlformats.org/officeDocument/2006/relationships/hyperlink" Target="https://www.dipres.gob.cl/597/articles-160333_r_ejecutivo_institucional.pdf" TargetMode="External"/><Relationship Id="rId22" Type="http://schemas.openxmlformats.org/officeDocument/2006/relationships/hyperlink" Target="https://www.dipres.gob.cl/597/articles-141147_r_ejecutivo_institucional.pdf" TargetMode="External"/><Relationship Id="rId64" Type="http://schemas.openxmlformats.org/officeDocument/2006/relationships/hyperlink" Target="https://www.dipres.gob.cl/597/articles-189331_informe_final.pdf" TargetMode="External"/><Relationship Id="rId118" Type="http://schemas.openxmlformats.org/officeDocument/2006/relationships/hyperlink" Target="https://www.dipres.gob.cl/597/articles-177371_r_ejecutivo_institucional.pdf" TargetMode="External"/><Relationship Id="rId171" Type="http://schemas.openxmlformats.org/officeDocument/2006/relationships/hyperlink" Target="https://www.dipres.gob.cl/597/articles-189315_r_ejecutivo_institucional.pdf" TargetMode="External"/><Relationship Id="rId227" Type="http://schemas.openxmlformats.org/officeDocument/2006/relationships/hyperlink" Target="https://www.dipres.gob.cl/597/articles-139826_seguimiento_compromisos.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programassociales.ministeriodesarrollosocial.gob.cl/pdf/2020/PRG2020_3_59244.pdf" TargetMode="External"/><Relationship Id="rId21" Type="http://schemas.openxmlformats.org/officeDocument/2006/relationships/hyperlink" Target="https://programassociales.ministeriodesarrollosocial.gob.cl/" TargetMode="External"/><Relationship Id="rId42" Type="http://schemas.openxmlformats.org/officeDocument/2006/relationships/hyperlink" Target="https://programassociales.ministeriodesarrollosocial.gob.cl/pdf/2018/PRG2018_3_59471.pdf" TargetMode="External"/><Relationship Id="rId47" Type="http://schemas.openxmlformats.org/officeDocument/2006/relationships/hyperlink" Target="https://programassociales.ministeriodesarrollosocial.gob.cl/" TargetMode="External"/><Relationship Id="rId63" Type="http://schemas.openxmlformats.org/officeDocument/2006/relationships/hyperlink" Target="https://www.camara.cl/verDoc.aspx?prmID=14609&amp;prmTIPO=INFORMEPLEY" TargetMode="External"/><Relationship Id="rId68" Type="http://schemas.openxmlformats.org/officeDocument/2006/relationships/hyperlink" Target="https://programassociales.ministeriodesarrollosocial.gob.cl/pdf/2012/PRG2012_3_5002.pdf" TargetMode="External"/><Relationship Id="rId7" Type="http://schemas.openxmlformats.org/officeDocument/2006/relationships/hyperlink" Target="https://programassociales.ministeriodesarrollosocial.gob.cl/pdf/2018/PRG2018_3_59466.pdf" TargetMode="External"/><Relationship Id="rId2" Type="http://schemas.openxmlformats.org/officeDocument/2006/relationships/hyperlink" Target="https://programassociales.ministeriodesarrollosocial.gob.cl/pdf/2017/PRG2017_3_497.pdf" TargetMode="External"/><Relationship Id="rId16" Type="http://schemas.openxmlformats.org/officeDocument/2006/relationships/hyperlink" Target="https://www.minsal.cl/campana-mas-medicos-y-especialistas/" TargetMode="External"/><Relationship Id="rId29" Type="http://schemas.openxmlformats.org/officeDocument/2006/relationships/hyperlink" Target="https://programassociales.ministeriodesarrollosocial.gob.cl/" TargetMode="External"/><Relationship Id="rId11" Type="http://schemas.openxmlformats.org/officeDocument/2006/relationships/hyperlink" Target="https://programassociales.ministeriodesarrollosocial.gob.cl/pdf/2020/PRG2020_3_924.pdf" TargetMode="External"/><Relationship Id="rId24" Type="http://schemas.openxmlformats.org/officeDocument/2006/relationships/hyperlink" Target="https://programassociales.ministeriodesarrollosocial.gob.cl/pdf/2020/PRG2020_3_59465.pdf" TargetMode="External"/><Relationship Id="rId32" Type="http://schemas.openxmlformats.org/officeDocument/2006/relationships/hyperlink" Target="https://www.senado.cl/site/presupuesto/2018/cumplimiento/Glosas%202018/tercera%20subcomision/16%20Salud/212%20Salud.pdf" TargetMode="External"/><Relationship Id="rId37" Type="http://schemas.openxmlformats.org/officeDocument/2006/relationships/hyperlink" Target="https://programassociales.ministeriodesarrollosocial.gob.cl/" TargetMode="External"/><Relationship Id="rId40" Type="http://schemas.openxmlformats.org/officeDocument/2006/relationships/hyperlink" Target="https://programassociales.ministeriodesarrollosocial.gob.cl/pdf/2018/PRG2018_3_548.pdf" TargetMode="External"/><Relationship Id="rId45" Type="http://schemas.openxmlformats.org/officeDocument/2006/relationships/hyperlink" Target="https://programassociales.ministeriodesarrollosocial.gob.cl/" TargetMode="External"/><Relationship Id="rId53" Type="http://schemas.openxmlformats.org/officeDocument/2006/relationships/hyperlink" Target="https://programassociales.ministeriodesarrollosocial.gob.cl/" TargetMode="External"/><Relationship Id="rId58" Type="http://schemas.openxmlformats.org/officeDocument/2006/relationships/hyperlink" Target="https://programassociales.ministeriodesarrollosocial.gob.cl/" TargetMode="External"/><Relationship Id="rId66" Type="http://schemas.openxmlformats.org/officeDocument/2006/relationships/hyperlink" Target="http://www.dipres.cl/597/articles-74331_doc_pdf.pdf" TargetMode="External"/><Relationship Id="rId5" Type="http://schemas.openxmlformats.org/officeDocument/2006/relationships/hyperlink" Target="https://www.senado.cl/" TargetMode="External"/><Relationship Id="rId61" Type="http://schemas.openxmlformats.org/officeDocument/2006/relationships/hyperlink" Target="https://www.sename.cl/wsename/otros/03_DOC_PUB_VN/02_Informes_Gestion/Informe%20de%20Gesti%C3%B3n%202010%20Programa%20Vida%20Nueva.pdf" TargetMode="External"/><Relationship Id="rId19" Type="http://schemas.openxmlformats.org/officeDocument/2006/relationships/hyperlink" Target="https://www.dipres.gob.cl/598/w3-propertyvalue-2129.html" TargetMode="External"/><Relationship Id="rId14" Type="http://schemas.openxmlformats.org/officeDocument/2006/relationships/hyperlink" Target="https://www.senado.cl/site/presupuesto/2017/cumplimiento/Glosas%202017/primera_subcomision/21%20Des.%20Social/3953SES/Inf%20monitioreo%20cierre%202016/Fundaciones%20(18-7)/Fundaci%C3%B3n%20Integra%20(2-0)/Jardines%20Infantiles%20y%20Salas%20Cuna%20de%20Administraci%C3%B3n%20Directa(Seguimiento).pdf" TargetMode="External"/><Relationship Id="rId22" Type="http://schemas.openxmlformats.org/officeDocument/2006/relationships/hyperlink" Target="https://programassociales.ministeriodesarrollosocial.gob.cl/pdf/2020/PRG2020_3_63383.pdf" TargetMode="External"/><Relationship Id="rId27" Type="http://schemas.openxmlformats.org/officeDocument/2006/relationships/hyperlink" Target="https://programassociales.ministeriodesarrollosocial.gob.cl/" TargetMode="External"/><Relationship Id="rId30" Type="http://schemas.openxmlformats.org/officeDocument/2006/relationships/hyperlink" Target="https://programassociales.ministeriodesarrollosocial.gob.cl/" TargetMode="External"/><Relationship Id="rId35" Type="http://schemas.openxmlformats.org/officeDocument/2006/relationships/hyperlink" Target="https://programassociales.ministeriodesarrollosocial.gob.cl/" TargetMode="External"/><Relationship Id="rId43" Type="http://schemas.openxmlformats.org/officeDocument/2006/relationships/hyperlink" Target="https://programassociales.ministeriodesarrollosocial.gob.cl/" TargetMode="External"/><Relationship Id="rId48" Type="http://schemas.openxmlformats.org/officeDocument/2006/relationships/hyperlink" Target="https://programassociales.ministeriodesarrollosocial.gob.cl/pdf/2017/PRG2017_5_1000900.pdf" TargetMode="External"/><Relationship Id="rId56" Type="http://schemas.openxmlformats.org/officeDocument/2006/relationships/hyperlink" Target="https://www.mercadopublico.cl/Procurement/Modules/RFB/StepsProcessAward/PreviewAwardAct.aspx?qs=9NbHoyxWhKUFU4yb+5vtF3SKZylro6jOzWkBCZvr%2Fvs%3D" TargetMode="External"/><Relationship Id="rId64" Type="http://schemas.openxmlformats.org/officeDocument/2006/relationships/hyperlink" Target="https://www.camara.cl/" TargetMode="External"/><Relationship Id="rId69" Type="http://schemas.openxmlformats.org/officeDocument/2006/relationships/hyperlink" Target="https://programassociales.ministeriodesarrollosocial.gob.cl/" TargetMode="External"/><Relationship Id="rId8" Type="http://schemas.openxmlformats.org/officeDocument/2006/relationships/hyperlink" Target="https://www.dipres.gob.cl/597/articles-170561_doc_xls.xls" TargetMode="External"/><Relationship Id="rId51" Type="http://schemas.openxmlformats.org/officeDocument/2006/relationships/hyperlink" Target="https://programassociales.ministeriodesarrollosocial.gob.cl/" TargetMode="External"/><Relationship Id="rId3" Type="http://schemas.openxmlformats.org/officeDocument/2006/relationships/hyperlink" Target="https://programassociales.ministeriodesarrollosocial.gob.cl/" TargetMode="External"/><Relationship Id="rId12" Type="http://schemas.openxmlformats.org/officeDocument/2006/relationships/hyperlink" Target="https://www.senado.cl/" TargetMode="External"/><Relationship Id="rId17" Type="http://schemas.openxmlformats.org/officeDocument/2006/relationships/hyperlink" Target="https://www.dipres.gob.cl/597/articles-96785_doc_xls.xls" TargetMode="External"/><Relationship Id="rId25" Type="http://schemas.openxmlformats.org/officeDocument/2006/relationships/hyperlink" Target="https://programassociales.ministeriodesarrollosocial.gob.cl/" TargetMode="External"/><Relationship Id="rId33" Type="http://schemas.openxmlformats.org/officeDocument/2006/relationships/hyperlink" Target="https://www.senado.cl/" TargetMode="External"/><Relationship Id="rId38" Type="http://schemas.openxmlformats.org/officeDocument/2006/relationships/hyperlink" Target="http://www.doh.cl/Gestion/bgi/Documents/BGI%202018.pdf" TargetMode="External"/><Relationship Id="rId46" Type="http://schemas.openxmlformats.org/officeDocument/2006/relationships/hyperlink" Target="https://programassociales.ministeriodesarrollosocial.gob.cl/pdf/2020/PRG2020_3_5060.pdf" TargetMode="External"/><Relationship Id="rId59" Type="http://schemas.openxmlformats.org/officeDocument/2006/relationships/hyperlink" Target="https://programassociales.ministeriodesarrollosocial.gob.cl/pdf/2015/PRG2015_3_1719.pdf" TargetMode="External"/><Relationship Id="rId67" Type="http://schemas.openxmlformats.org/officeDocument/2006/relationships/hyperlink" Target="http://www.dipres.cl/" TargetMode="External"/><Relationship Id="rId20" Type="http://schemas.openxmlformats.org/officeDocument/2006/relationships/hyperlink" Target="https://programassociales.ministeriodesarrollosocial.gob.cl/pdf/2020/PRG2020_3_59464.pdf" TargetMode="External"/><Relationship Id="rId41" Type="http://schemas.openxmlformats.org/officeDocument/2006/relationships/hyperlink" Target="https://programassociales.ministeriodesarrollosocial.gob.cl/" TargetMode="External"/><Relationship Id="rId54" Type="http://schemas.openxmlformats.org/officeDocument/2006/relationships/hyperlink" Target="https://programassociales.ministeriodesarrollosocial.gob.cl/" TargetMode="External"/><Relationship Id="rId62" Type="http://schemas.openxmlformats.org/officeDocument/2006/relationships/hyperlink" Target="https://www.sename.cl/" TargetMode="External"/><Relationship Id="rId70" Type="http://schemas.openxmlformats.org/officeDocument/2006/relationships/hyperlink" Target="http://www.dipres.gob.cl/597/w3-propertyname-557.html" TargetMode="External"/><Relationship Id="rId1" Type="http://schemas.openxmlformats.org/officeDocument/2006/relationships/hyperlink" Target="https://www.dipres.gob.cl/597/articles-170789_doc_xls.xls" TargetMode="External"/><Relationship Id="rId6" Type="http://schemas.openxmlformats.org/officeDocument/2006/relationships/hyperlink" Target="https://programassociales.ministeriodesarrollosocial.gob.cl/" TargetMode="External"/><Relationship Id="rId15" Type="http://schemas.openxmlformats.org/officeDocument/2006/relationships/hyperlink" Target="https://www.dipres.gob.cl/597/articles-128407_doc_xls.xls" TargetMode="External"/><Relationship Id="rId23" Type="http://schemas.openxmlformats.org/officeDocument/2006/relationships/hyperlink" Target="https://programassociales.ministeriodesarrollosocial.gob.cl/" TargetMode="External"/><Relationship Id="rId28" Type="http://schemas.openxmlformats.org/officeDocument/2006/relationships/hyperlink" Target="https://programassociales.ministeriodesarrollosocial.gob.cl/pdf/2020/PRG2020_3_5057.pdf" TargetMode="External"/><Relationship Id="rId36" Type="http://schemas.openxmlformats.org/officeDocument/2006/relationships/hyperlink" Target="https://programassociales.ministeriodesarrollosocial.gob.cl/pdf/2018/PRG2018_3_60236.pdf" TargetMode="External"/><Relationship Id="rId49" Type="http://schemas.openxmlformats.org/officeDocument/2006/relationships/hyperlink" Target="https://programassociales.ministeriodesarrollosocial.gob.cl/" TargetMode="External"/><Relationship Id="rId57" Type="http://schemas.openxmlformats.org/officeDocument/2006/relationships/hyperlink" Target="https://programassociales.ministeriodesarrollosocial.gob.cl/pdf/2015/PRG2015_5_61893.pdf" TargetMode="External"/><Relationship Id="rId10" Type="http://schemas.openxmlformats.org/officeDocument/2006/relationships/hyperlink" Target="https://programassociales.ministeriodesarrollosocial.gob.cl/" TargetMode="External"/><Relationship Id="rId31" Type="http://schemas.openxmlformats.org/officeDocument/2006/relationships/hyperlink" Target="https://programassociales.ministeriodesarrollosocial.gob.cl/pdf/2020/PRG2020_3_59470.pdf" TargetMode="External"/><Relationship Id="rId44" Type="http://schemas.openxmlformats.org/officeDocument/2006/relationships/hyperlink" Target="https://programassociales.ministeriodesarrollosocial.gob.cl/pdf/2020/PRG2020_3_5059.pdf" TargetMode="External"/><Relationship Id="rId52" Type="http://schemas.openxmlformats.org/officeDocument/2006/relationships/hyperlink" Target="https://programassociales.ministeriodesarrollosocial.gob.cl/pdf/2020/PRG2020_4_63172.pdf" TargetMode="External"/><Relationship Id="rId60" Type="http://schemas.openxmlformats.org/officeDocument/2006/relationships/hyperlink" Target="https://programassociales.ministeriodesarrollosocial.gob.cl/" TargetMode="External"/><Relationship Id="rId65" Type="http://schemas.openxmlformats.org/officeDocument/2006/relationships/hyperlink" Target="https://www.chiletransparente.cl/wp-content/uploads/2014/03/Ley-de-Presupestos-Gobiernos-Regionales.pdf" TargetMode="External"/><Relationship Id="rId4" Type="http://schemas.openxmlformats.org/officeDocument/2006/relationships/hyperlink" Target="https://www.senado.cl/site/presupuesto/2017/cumplimiento/Ejecucion/Febrero2017/26.pptx" TargetMode="External"/><Relationship Id="rId9" Type="http://schemas.openxmlformats.org/officeDocument/2006/relationships/hyperlink" Target="https://programassociales.ministeriodesarrollosocial.gob.cl/pdf/2020/PRG2020_3_59464.pdf" TargetMode="External"/><Relationship Id="rId13" Type="http://schemas.openxmlformats.org/officeDocument/2006/relationships/hyperlink" Target="https://www.dipres.gob.cl/597/articles-126580_doc_xls.xls" TargetMode="External"/><Relationship Id="rId18" Type="http://schemas.openxmlformats.org/officeDocument/2006/relationships/hyperlink" Target="https://www.dropbox.com/home/Dise%C3%B1o%20DATA's/DATA-EVAL/BD%20Ley%20Presupuesto%20desde%202009" TargetMode="External"/><Relationship Id="rId39" Type="http://schemas.openxmlformats.org/officeDocument/2006/relationships/hyperlink" Target="http://www.doh.cl/Gestion/Paginas/default.aspx" TargetMode="External"/><Relationship Id="rId34" Type="http://schemas.openxmlformats.org/officeDocument/2006/relationships/hyperlink" Target="https://programassociales.ministeriodesarrollosocial.gob.cl/pdf/2018/PRG2018_3_60237.pdf" TargetMode="External"/><Relationship Id="rId50" Type="http://schemas.openxmlformats.org/officeDocument/2006/relationships/hyperlink" Target="https://programassociales.ministeriodesarrollosocial.gob.cl/pdf/2020/PRG2020_3_62058.pdf" TargetMode="External"/><Relationship Id="rId55" Type="http://schemas.openxmlformats.org/officeDocument/2006/relationships/hyperlink" Target="https://programassociales.ministeriodesarrollosocial.gob.cl/pdf/2015/PRG2015_5_61841.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programassociales.ministeriodesarrollosocial.gob.cl/" TargetMode="External"/><Relationship Id="rId2" Type="http://schemas.openxmlformats.org/officeDocument/2006/relationships/hyperlink" Target="https://datos.gob.cl/tr/dataset/ley-de-presupuestos-inicial-y-vigente-a-septiembre-de-2020-del-gobierno-central" TargetMode="External"/><Relationship Id="rId1" Type="http://schemas.openxmlformats.org/officeDocument/2006/relationships/hyperlink" Target="https://www.dipres.gob.cl/597/w3-propertyvalue-23076.html" TargetMode="External"/><Relationship Id="rId6" Type="http://schemas.openxmlformats.org/officeDocument/2006/relationships/printerSettings" Target="../printerSettings/printerSettings2.bin"/><Relationship Id="rId5" Type="http://schemas.openxmlformats.org/officeDocument/2006/relationships/hyperlink" Target="https://www.dipres.gob.cl/598/w3-article-111763.html" TargetMode="External"/><Relationship Id="rId4" Type="http://schemas.openxmlformats.org/officeDocument/2006/relationships/hyperlink" Target="http://www.dipres.gob.cl/597/w3-propertyname-557.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i3.bcentral.cl/Siete/ES/Siete/Cuadro/CAP_TIPO_CAMBIO/MN_TIPO_CAMBIO4/DOLAR_OBS_ADO?cbFechaDiaria=2020&amp;cbFrecuencia=ANNUAL&amp;cbCalculo=NONE&amp;cbFechaBase=" TargetMode="External"/><Relationship Id="rId2" Type="http://schemas.openxmlformats.org/officeDocument/2006/relationships/hyperlink" Target="https://si3.bcentral.cl/Siete/ES/Siete/Cuadro/CAP_PRECIOS/MN_CAP_PRECIOS/IPC_G_2018/IPC_G_2018" TargetMode="External"/><Relationship Id="rId1" Type="http://schemas.openxmlformats.org/officeDocument/2006/relationships/hyperlink" Target="https://si3.bcentral.cl/Siete/ES/Siete/Cuadro/CAP_CCNN/MN_CCNN76/CCNN_HIST13_ENC/CCNN_HIST13_ENC"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hyperlink" Target="https://si3.bcentral.cl/siet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dipres.gob.cl/594/articles-139847_doc_pdf.pdf" TargetMode="External"/><Relationship Id="rId2" Type="http://schemas.openxmlformats.org/officeDocument/2006/relationships/hyperlink" Target="https://www.bcn.cl/leychile/navegar/imprimir?idNorma=220923&amp;idParte=0" TargetMode="External"/><Relationship Id="rId1" Type="http://schemas.openxmlformats.org/officeDocument/2006/relationships/hyperlink" Target="http://www.dipres.gob.cl/598/w3-propertyvalue-23088.html"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22"/>
  <sheetViews>
    <sheetView tabSelected="1" zoomScaleNormal="100" workbookViewId="0">
      <pane xSplit="2" ySplit="1" topLeftCell="C184" activePane="bottomRight" state="frozen"/>
      <selection pane="topRight" activeCell="C1" sqref="C1"/>
      <selection pane="bottomLeft" activeCell="A2" sqref="A2"/>
      <selection pane="bottomRight" activeCell="A204" sqref="A204"/>
    </sheetView>
  </sheetViews>
  <sheetFormatPr baseColWidth="10" defaultColWidth="10.7109375" defaultRowHeight="15" x14ac:dyDescent="0.25"/>
  <cols>
    <col min="1" max="1" width="15.28515625" bestFit="1" customWidth="1"/>
    <col min="2" max="2" width="44.5703125" customWidth="1"/>
    <col min="3" max="3" width="8" customWidth="1"/>
    <col min="4" max="4" width="52.28515625" bestFit="1" customWidth="1"/>
    <col min="5" max="5" width="38.42578125" customWidth="1"/>
    <col min="6" max="6" width="25.140625" customWidth="1"/>
    <col min="7" max="7" width="15.7109375" customWidth="1"/>
    <col min="8" max="9" width="15.7109375" style="2" customWidth="1"/>
    <col min="10" max="10" width="23" style="1" bestFit="1" customWidth="1"/>
    <col min="11" max="11" width="35.140625" bestFit="1" customWidth="1"/>
    <col min="12" max="16" width="30.7109375" customWidth="1"/>
    <col min="17" max="20" width="15.7109375" customWidth="1"/>
    <col min="21" max="21" width="17.7109375" bestFit="1" customWidth="1"/>
    <col min="22" max="22" width="14.85546875" bestFit="1" customWidth="1"/>
    <col min="23" max="23" width="31.140625" bestFit="1" customWidth="1"/>
    <col min="24" max="43" width="17.7109375" customWidth="1"/>
    <col min="44" max="44" width="24.42578125" style="10" bestFit="1" customWidth="1"/>
    <col min="45" max="45" width="24.85546875" style="39" bestFit="1" customWidth="1"/>
    <col min="46" max="46" width="34" bestFit="1" customWidth="1"/>
    <col min="47" max="47" width="34.42578125" bestFit="1" customWidth="1"/>
    <col min="48" max="48" width="27" bestFit="1" customWidth="1"/>
  </cols>
  <sheetData>
    <row r="1" spans="1:48" x14ac:dyDescent="0.25">
      <c r="A1" s="7" t="s">
        <v>0</v>
      </c>
      <c r="B1" s="7" t="s">
        <v>1</v>
      </c>
      <c r="C1" s="7" t="s">
        <v>2</v>
      </c>
      <c r="D1" s="7" t="s">
        <v>3</v>
      </c>
      <c r="E1" s="7" t="s">
        <v>4</v>
      </c>
      <c r="F1" s="7" t="s">
        <v>5</v>
      </c>
      <c r="G1" s="7" t="s">
        <v>718</v>
      </c>
      <c r="H1" s="8" t="s">
        <v>720</v>
      </c>
      <c r="I1" s="8" t="s">
        <v>721</v>
      </c>
      <c r="J1" s="9" t="s">
        <v>719</v>
      </c>
      <c r="K1" s="7" t="s">
        <v>722</v>
      </c>
      <c r="L1" s="7" t="s">
        <v>724</v>
      </c>
      <c r="M1" s="7" t="s">
        <v>725</v>
      </c>
      <c r="N1" s="7" t="s">
        <v>726</v>
      </c>
      <c r="O1" s="7" t="s">
        <v>727</v>
      </c>
      <c r="P1" s="7" t="s">
        <v>728</v>
      </c>
      <c r="Q1" s="7" t="s">
        <v>734</v>
      </c>
      <c r="R1" s="7" t="s">
        <v>736</v>
      </c>
      <c r="S1" s="7" t="s">
        <v>737</v>
      </c>
      <c r="T1" s="7" t="s">
        <v>738</v>
      </c>
      <c r="U1" s="7" t="s">
        <v>1140</v>
      </c>
      <c r="V1" s="7" t="s">
        <v>1148</v>
      </c>
      <c r="W1" s="9" t="s">
        <v>1647</v>
      </c>
      <c r="X1" s="7" t="s">
        <v>1699</v>
      </c>
      <c r="Y1" s="7" t="s">
        <v>1700</v>
      </c>
      <c r="Z1" s="7" t="s">
        <v>1701</v>
      </c>
      <c r="AA1" s="7" t="s">
        <v>1702</v>
      </c>
      <c r="AB1" s="7" t="s">
        <v>1703</v>
      </c>
      <c r="AC1" s="7" t="s">
        <v>1704</v>
      </c>
      <c r="AD1" s="7" t="s">
        <v>1705</v>
      </c>
      <c r="AE1" s="7" t="s">
        <v>1726</v>
      </c>
      <c r="AF1" s="7" t="s">
        <v>1743</v>
      </c>
      <c r="AG1" s="7" t="s">
        <v>1744</v>
      </c>
      <c r="AH1" s="7" t="s">
        <v>1745</v>
      </c>
      <c r="AI1" s="7" t="s">
        <v>1746</v>
      </c>
      <c r="AJ1" s="7" t="s">
        <v>1747</v>
      </c>
      <c r="AK1" s="7" t="s">
        <v>1767</v>
      </c>
      <c r="AL1" s="7" t="s">
        <v>1916</v>
      </c>
      <c r="AM1" s="7" t="s">
        <v>1917</v>
      </c>
      <c r="AN1" s="7" t="s">
        <v>1918</v>
      </c>
      <c r="AO1" s="7" t="s">
        <v>2032</v>
      </c>
      <c r="AP1" s="7" t="s">
        <v>2033</v>
      </c>
      <c r="AQ1" s="7" t="s">
        <v>2034</v>
      </c>
      <c r="AR1" s="7" t="s">
        <v>2359</v>
      </c>
      <c r="AS1" s="41" t="s">
        <v>2360</v>
      </c>
      <c r="AT1" s="7" t="s">
        <v>2395</v>
      </c>
      <c r="AU1" s="7" t="s">
        <v>2397</v>
      </c>
      <c r="AV1" s="7" t="s">
        <v>2419</v>
      </c>
    </row>
    <row r="2" spans="1:48" s="33" customFormat="1" x14ac:dyDescent="0.25">
      <c r="A2" s="30">
        <v>2020</v>
      </c>
      <c r="B2" s="30" t="s">
        <v>1296</v>
      </c>
      <c r="C2" s="30" t="s">
        <v>7</v>
      </c>
      <c r="D2" s="30" t="s">
        <v>12</v>
      </c>
      <c r="E2" s="30" t="s">
        <v>13</v>
      </c>
      <c r="F2" s="30" t="s">
        <v>27</v>
      </c>
      <c r="G2" s="30" t="s">
        <v>723</v>
      </c>
      <c r="H2" s="30">
        <v>2014</v>
      </c>
      <c r="I2" s="30"/>
      <c r="J2" s="31">
        <f xml:space="preserve">  99880 * 1000000</f>
        <v>99880000000</v>
      </c>
      <c r="K2" s="30" t="s">
        <v>1648</v>
      </c>
      <c r="L2" s="30" t="s">
        <v>1329</v>
      </c>
      <c r="M2" s="30" t="s">
        <v>1330</v>
      </c>
      <c r="N2" s="30" t="s">
        <v>1334</v>
      </c>
      <c r="O2" s="30" t="s">
        <v>1333</v>
      </c>
      <c r="P2" s="30" t="s">
        <v>1335</v>
      </c>
      <c r="Q2" s="30" t="s">
        <v>1332</v>
      </c>
      <c r="R2" s="32" t="s">
        <v>1322</v>
      </c>
      <c r="S2" s="32" t="s">
        <v>1323</v>
      </c>
      <c r="T2" s="30"/>
      <c r="U2" s="30"/>
      <c r="V2" s="30" t="s">
        <v>1331</v>
      </c>
      <c r="W2" s="31">
        <f>IF( J2="s.i", "s.i", IF(ISBLANK(J2),"Actualizando información",IFERROR(J2 / VLOOKUP(A2,Deflactor!$G$3:$H$64,2,0),"Revisar error" )))</f>
        <v>76644787402.237656</v>
      </c>
      <c r="X2" s="33" t="s">
        <v>1958</v>
      </c>
      <c r="Y2" s="33" t="s">
        <v>1959</v>
      </c>
      <c r="Z2" s="33" t="s">
        <v>1960</v>
      </c>
      <c r="AA2" s="33" t="s">
        <v>1961</v>
      </c>
      <c r="AB2" s="33" t="s">
        <v>1962</v>
      </c>
      <c r="AC2" s="33" t="s">
        <v>1963</v>
      </c>
      <c r="AD2" s="33" t="s">
        <v>1964</v>
      </c>
      <c r="AE2" s="33" t="s">
        <v>1965</v>
      </c>
      <c r="AF2" s="33" t="s">
        <v>1966</v>
      </c>
      <c r="AG2" s="33" t="s">
        <v>1967</v>
      </c>
      <c r="AH2" s="33" t="s">
        <v>1968</v>
      </c>
      <c r="AI2" s="33" t="s">
        <v>1969</v>
      </c>
      <c r="AJ2" s="33" t="s">
        <v>1970</v>
      </c>
      <c r="AK2" s="33" t="s">
        <v>1971</v>
      </c>
      <c r="AL2" s="33" t="s">
        <v>1972</v>
      </c>
      <c r="AR2" s="34">
        <f xml:space="preserve"> 66837203 * 1000</f>
        <v>66837203000</v>
      </c>
      <c r="AS2" s="42"/>
      <c r="AT2" s="46">
        <f>AR2</f>
        <v>66837203000</v>
      </c>
      <c r="AU2" s="54">
        <f xml:space="preserve"> IFERROR(ROUND(AT2 / VLOOKUP(A2,Tabla1[#All],2,0),0),"s.i")</f>
        <v>84366777</v>
      </c>
      <c r="AV2" s="33">
        <f xml:space="preserve"> IF(AU2="s.i", "s.i", IF(AND(AU2&gt;=Deflactor!$BQ$298,AU2&lt;Deflactor!$BQ$299), Deflactor!$BP$298, IF(AND(AU2&gt;=Deflactor!$BQ$299,AU2&lt;Deflactor!$BQ$300), Deflactor!$BP$299, IF(AND(AU2&gt;=Deflactor!$BQ$300,AU2&lt;Deflactor!$BQ$301), Deflactor!$BP$300, IF(AND(AU2&gt;=Deflactor!$BQ$301,AU2&lt;Deflactor!$BQ$302), Deflactor!$BP$301, IF(AND(AU2&gt;=Deflactor!$BQ$302,AU2&lt;Deflactor!$BQ$303), Deflactor!$BP$302, IF(AND(AU2&gt;=Deflactor!$BQ$303,AU2&lt;Deflactor!$BQ$304), Deflactor!$BP$303, IF(AND(AU2&gt;=Deflactor!$BQ$304,AU2&lt;Deflactor!$BQ$305), Deflactor!$BP$304, IF(AND(AU2&gt;=Deflactor!$BQ$305,AU2&lt;Deflactor!$BQ$306), Deflactor!$BP$305, IF(AND(AU2&gt;=Deflactor!$BQ$306,AU2&lt;Deflactor!$BQ$307), Deflactor!$BP$306, Deflactor!$BP$307) ) ) ) ) ) ) ) ) )</f>
        <v>9</v>
      </c>
    </row>
    <row r="3" spans="1:48" s="33" customFormat="1" x14ac:dyDescent="0.25">
      <c r="A3" s="30">
        <v>2020</v>
      </c>
      <c r="B3" s="30" t="s">
        <v>1297</v>
      </c>
      <c r="C3" s="30" t="s">
        <v>7</v>
      </c>
      <c r="D3" s="30" t="s">
        <v>12</v>
      </c>
      <c r="E3" s="30" t="s">
        <v>13</v>
      </c>
      <c r="F3" s="30" t="s">
        <v>27</v>
      </c>
      <c r="G3" s="30" t="s">
        <v>723</v>
      </c>
      <c r="H3" s="30">
        <v>1993</v>
      </c>
      <c r="I3" s="30"/>
      <c r="J3" s="31">
        <f xml:space="preserve">  46695 * 1000000</f>
        <v>46695000000</v>
      </c>
      <c r="K3" s="30" t="s">
        <v>2309</v>
      </c>
      <c r="L3" s="30" t="s">
        <v>1679</v>
      </c>
      <c r="M3" s="30" t="s">
        <v>1680</v>
      </c>
      <c r="N3" s="30" t="s">
        <v>1681</v>
      </c>
      <c r="O3" s="30" t="s">
        <v>1682</v>
      </c>
      <c r="P3" s="30" t="s">
        <v>1683</v>
      </c>
      <c r="Q3" s="30"/>
      <c r="R3" s="32" t="s">
        <v>1677</v>
      </c>
      <c r="S3" s="32" t="s">
        <v>1678</v>
      </c>
      <c r="T3" s="30"/>
      <c r="U3" s="30" t="s">
        <v>1324</v>
      </c>
      <c r="V3" s="30"/>
      <c r="W3" s="31">
        <f>IF( J3="s.i", "s.i", IF(ISBLANK(J3),"Actualizando información",IFERROR(J3 / VLOOKUP(A3,Deflactor!$G$3:$H$64,2,0),"Revisar error" )))</f>
        <v>35832282216.134239</v>
      </c>
      <c r="X3" s="33" t="s">
        <v>1973</v>
      </c>
      <c r="Y3" s="33" t="s">
        <v>1974</v>
      </c>
      <c r="Z3" s="33" t="s">
        <v>1975</v>
      </c>
      <c r="AA3" s="33" t="s">
        <v>1976</v>
      </c>
      <c r="AB3" s="33" t="s">
        <v>1977</v>
      </c>
      <c r="AC3" s="33" t="s">
        <v>1978</v>
      </c>
      <c r="AD3" s="33" t="s">
        <v>1979</v>
      </c>
      <c r="AE3" s="33" t="s">
        <v>1980</v>
      </c>
      <c r="AF3" s="33" t="s">
        <v>1981</v>
      </c>
      <c r="AG3" s="33" t="s">
        <v>1982</v>
      </c>
      <c r="AH3" s="33" t="s">
        <v>1983</v>
      </c>
      <c r="AR3" s="10">
        <f xml:space="preserve"> 45528855 * 1000</f>
        <v>45528855000</v>
      </c>
      <c r="AS3" s="42"/>
      <c r="AT3" s="46">
        <f t="shared" ref="AT3:AT66" si="0">AR3</f>
        <v>45528855000</v>
      </c>
      <c r="AU3" s="54">
        <f xml:space="preserve"> IFERROR(ROUND(AT3 / VLOOKUP(A3,Tabla1[#All],2,0),0),"s.i")</f>
        <v>57469831</v>
      </c>
      <c r="AV3" s="33">
        <f xml:space="preserve"> IF(AU3="s.i", "s.i", IF(AND(AU3&gt;=Deflactor!$BQ$298,AU3&lt;Deflactor!$BQ$299), Deflactor!$BP$298, IF(AND(AU3&gt;=Deflactor!$BQ$299,AU3&lt;Deflactor!$BQ$300), Deflactor!$BP$299, IF(AND(AU3&gt;=Deflactor!$BQ$300,AU3&lt;Deflactor!$BQ$301), Deflactor!$BP$300, IF(AND(AU3&gt;=Deflactor!$BQ$301,AU3&lt;Deflactor!$BQ$302), Deflactor!$BP$301, IF(AND(AU3&gt;=Deflactor!$BQ$302,AU3&lt;Deflactor!$BQ$303), Deflactor!$BP$302, IF(AND(AU3&gt;=Deflactor!$BQ$303,AU3&lt;Deflactor!$BQ$304), Deflactor!$BP$303, IF(AND(AU3&gt;=Deflactor!$BQ$304,AU3&lt;Deflactor!$BQ$305), Deflactor!$BP$304, IF(AND(AU3&gt;=Deflactor!$BQ$305,AU3&lt;Deflactor!$BQ$306), Deflactor!$BP$305, IF(AND(AU3&gt;=Deflactor!$BQ$306,AU3&lt;Deflactor!$BQ$307), Deflactor!$BP$306, Deflactor!$BP$307) ) ) ) ) ) ) ) ) )</f>
        <v>9</v>
      </c>
    </row>
    <row r="4" spans="1:48" s="33" customFormat="1" x14ac:dyDescent="0.25">
      <c r="A4" s="30">
        <v>2020</v>
      </c>
      <c r="B4" s="30" t="s">
        <v>1298</v>
      </c>
      <c r="C4" s="30" t="s">
        <v>7</v>
      </c>
      <c r="D4" s="30" t="s">
        <v>20</v>
      </c>
      <c r="E4" s="30" t="s">
        <v>23</v>
      </c>
      <c r="F4" s="30" t="s">
        <v>27</v>
      </c>
      <c r="G4" s="30" t="s">
        <v>723</v>
      </c>
      <c r="H4" s="30">
        <v>2016</v>
      </c>
      <c r="I4" s="30"/>
      <c r="J4" s="31">
        <f xml:space="preserve">  6572.5 * 1000000</f>
        <v>6572500000</v>
      </c>
      <c r="K4" s="30"/>
      <c r="L4" s="30" t="s">
        <v>1684</v>
      </c>
      <c r="M4" s="30" t="s">
        <v>1685</v>
      </c>
      <c r="N4" s="30" t="s">
        <v>1686</v>
      </c>
      <c r="O4" s="30" t="s">
        <v>1688</v>
      </c>
      <c r="P4" s="30" t="s">
        <v>1689</v>
      </c>
      <c r="Q4" s="30" t="s">
        <v>1687</v>
      </c>
      <c r="R4" s="32" t="s">
        <v>1690</v>
      </c>
      <c r="S4" s="29" t="s">
        <v>1691</v>
      </c>
      <c r="T4" s="30"/>
      <c r="U4" s="30"/>
      <c r="V4" s="30"/>
      <c r="W4" s="31">
        <f>IF( J4="s.i", "s.i", IF(ISBLANK(J4),"Actualizando información",IFERROR(J4 / VLOOKUP(A4,Deflactor!$G$3:$H$64,2,0),"Revisar error" )))</f>
        <v>5043530889.0789652</v>
      </c>
      <c r="X4" s="33" t="s">
        <v>1984</v>
      </c>
      <c r="Y4" s="33" t="s">
        <v>1985</v>
      </c>
      <c r="Z4" s="33" t="s">
        <v>1986</v>
      </c>
      <c r="AA4" s="33" t="s">
        <v>1987</v>
      </c>
      <c r="AB4" s="33" t="s">
        <v>1988</v>
      </c>
      <c r="AC4" s="33" t="s">
        <v>1989</v>
      </c>
      <c r="AD4" s="33" t="s">
        <v>1990</v>
      </c>
      <c r="AE4" s="33" t="s">
        <v>1991</v>
      </c>
      <c r="AF4" s="33" t="s">
        <v>1992</v>
      </c>
      <c r="AG4" s="33" t="s">
        <v>1993</v>
      </c>
      <c r="AH4" s="33" t="s">
        <v>1994</v>
      </c>
      <c r="AI4" s="33" t="s">
        <v>1995</v>
      </c>
      <c r="AJ4" s="33" t="s">
        <v>1996</v>
      </c>
      <c r="AK4" s="33" t="s">
        <v>1997</v>
      </c>
      <c r="AL4" s="33" t="s">
        <v>1998</v>
      </c>
      <c r="AR4" s="34" t="s">
        <v>2357</v>
      </c>
      <c r="AS4" s="42"/>
      <c r="AT4" s="46">
        <f>'Notas reunion'!T24</f>
        <v>6386405000</v>
      </c>
      <c r="AU4" s="54">
        <f xml:space="preserve"> IFERROR(ROUND(AT4 / VLOOKUP(A4,Tabla1[#All],2,0),0),"s.i")</f>
        <v>8061385</v>
      </c>
      <c r="AV4" s="33">
        <f xml:space="preserve"> IF(AU4="s.i", "s.i", IF(AND(AU4&gt;=Deflactor!$BQ$298,AU4&lt;Deflactor!$BQ$299), Deflactor!$BP$298, IF(AND(AU4&gt;=Deflactor!$BQ$299,AU4&lt;Deflactor!$BQ$300), Deflactor!$BP$299, IF(AND(AU4&gt;=Deflactor!$BQ$300,AU4&lt;Deflactor!$BQ$301), Deflactor!$BP$300, IF(AND(AU4&gt;=Deflactor!$BQ$301,AU4&lt;Deflactor!$BQ$302), Deflactor!$BP$301, IF(AND(AU4&gt;=Deflactor!$BQ$302,AU4&lt;Deflactor!$BQ$303), Deflactor!$BP$302, IF(AND(AU4&gt;=Deflactor!$BQ$303,AU4&lt;Deflactor!$BQ$304), Deflactor!$BP$303, IF(AND(AU4&gt;=Deflactor!$BQ$304,AU4&lt;Deflactor!$BQ$305), Deflactor!$BP$304, IF(AND(AU4&gt;=Deflactor!$BQ$305,AU4&lt;Deflactor!$BQ$306), Deflactor!$BP$305, IF(AND(AU4&gt;=Deflactor!$BQ$306,AU4&lt;Deflactor!$BQ$307), Deflactor!$BP$306, Deflactor!$BP$307) ) ) ) ) ) ) ) ) )</f>
        <v>4</v>
      </c>
    </row>
    <row r="5" spans="1:48" s="33" customFormat="1" x14ac:dyDescent="0.25">
      <c r="A5" s="30">
        <v>2020</v>
      </c>
      <c r="B5" s="30" t="s">
        <v>715</v>
      </c>
      <c r="C5" s="30" t="s">
        <v>67</v>
      </c>
      <c r="D5" s="30" t="s">
        <v>54</v>
      </c>
      <c r="E5" s="30" t="s">
        <v>236</v>
      </c>
      <c r="F5" s="30" t="s">
        <v>27</v>
      </c>
      <c r="G5" s="30" t="s">
        <v>723</v>
      </c>
      <c r="H5" s="30">
        <v>1954</v>
      </c>
      <c r="I5" s="30"/>
      <c r="J5" s="31">
        <f>74737 * 1000000</f>
        <v>74737000000</v>
      </c>
      <c r="K5" s="30" t="s">
        <v>1325</v>
      </c>
      <c r="L5" s="30" t="s">
        <v>1694</v>
      </c>
      <c r="M5" s="30" t="s">
        <v>1695</v>
      </c>
      <c r="N5" s="30" t="s">
        <v>1696</v>
      </c>
      <c r="O5" s="30" t="s">
        <v>1697</v>
      </c>
      <c r="P5" s="30" t="s">
        <v>1698</v>
      </c>
      <c r="Q5" s="30"/>
      <c r="R5" s="32" t="s">
        <v>1692</v>
      </c>
      <c r="S5" s="32" t="s">
        <v>1693</v>
      </c>
      <c r="T5" s="30"/>
      <c r="U5" s="30" t="s">
        <v>1325</v>
      </c>
      <c r="V5" s="30"/>
      <c r="W5" s="31">
        <f>IF( J5="s.i", "s.i", IF(ISBLANK(J5),"Actualizando información",IFERROR(J5 / VLOOKUP(A5,Deflactor!$G$3:$H$64,2,0),"Revisar error" )))</f>
        <v>57350835763.72683</v>
      </c>
      <c r="X5" s="33" t="s">
        <v>1849</v>
      </c>
      <c r="Y5" s="33" t="s">
        <v>1850</v>
      </c>
      <c r="Z5" s="33" t="s">
        <v>1851</v>
      </c>
      <c r="AA5" s="33" t="s">
        <v>1852</v>
      </c>
      <c r="AB5" s="33" t="s">
        <v>1853</v>
      </c>
      <c r="AC5" s="33" t="s">
        <v>1854</v>
      </c>
      <c r="AD5" s="33" t="s">
        <v>1855</v>
      </c>
      <c r="AE5" s="33" t="s">
        <v>1856</v>
      </c>
      <c r="AF5" s="33" t="s">
        <v>1857</v>
      </c>
      <c r="AG5" s="33" t="s">
        <v>1858</v>
      </c>
      <c r="AR5" s="10">
        <f xml:space="preserve"> 44937770 * 1000</f>
        <v>44937770000</v>
      </c>
      <c r="AS5" s="42"/>
      <c r="AT5" s="46">
        <f t="shared" si="0"/>
        <v>44937770000</v>
      </c>
      <c r="AU5" s="54">
        <f xml:space="preserve"> IFERROR(ROUND(AT5 / VLOOKUP(A5,Tabla1[#All],2,0),0),"s.i")</f>
        <v>56723721</v>
      </c>
      <c r="AV5" s="33">
        <f xml:space="preserve"> IF(AU5="s.i", "s.i", IF(AND(AU5&gt;=Deflactor!$BQ$298,AU5&lt;Deflactor!$BQ$299), Deflactor!$BP$298, IF(AND(AU5&gt;=Deflactor!$BQ$299,AU5&lt;Deflactor!$BQ$300), Deflactor!$BP$299, IF(AND(AU5&gt;=Deflactor!$BQ$300,AU5&lt;Deflactor!$BQ$301), Deflactor!$BP$300, IF(AND(AU5&gt;=Deflactor!$BQ$301,AU5&lt;Deflactor!$BQ$302), Deflactor!$BP$301, IF(AND(AU5&gt;=Deflactor!$BQ$302,AU5&lt;Deflactor!$BQ$303), Deflactor!$BP$302, IF(AND(AU5&gt;=Deflactor!$BQ$303,AU5&lt;Deflactor!$BQ$304), Deflactor!$BP$303, IF(AND(AU5&gt;=Deflactor!$BQ$304,AU5&lt;Deflactor!$BQ$305), Deflactor!$BP$304, IF(AND(AU5&gt;=Deflactor!$BQ$305,AU5&lt;Deflactor!$BQ$306), Deflactor!$BP$305, IF(AND(AU5&gt;=Deflactor!$BQ$306,AU5&lt;Deflactor!$BQ$307), Deflactor!$BP$306, Deflactor!$BP$307) ) ) ) ) ) ) ) ) )</f>
        <v>9</v>
      </c>
    </row>
    <row r="6" spans="1:48" x14ac:dyDescent="0.25">
      <c r="A6" s="3">
        <v>2020</v>
      </c>
      <c r="B6" s="3" t="s">
        <v>1299</v>
      </c>
      <c r="C6" s="3" t="s">
        <v>7</v>
      </c>
      <c r="D6" s="3" t="s">
        <v>36</v>
      </c>
      <c r="E6" s="3" t="s">
        <v>1300</v>
      </c>
      <c r="F6" s="3" t="s">
        <v>14</v>
      </c>
      <c r="G6" s="3" t="s">
        <v>723</v>
      </c>
      <c r="H6" s="3">
        <v>2011</v>
      </c>
      <c r="I6" s="3"/>
      <c r="J6" s="10">
        <f xml:space="preserve"> 20468909 * 1000</f>
        <v>20468909000</v>
      </c>
      <c r="K6" s="3" t="s">
        <v>1786</v>
      </c>
      <c r="L6" s="3" t="s">
        <v>1708</v>
      </c>
      <c r="M6" s="3" t="s">
        <v>1709</v>
      </c>
      <c r="N6" s="3" t="s">
        <v>1710</v>
      </c>
      <c r="O6" s="3" t="s">
        <v>1711</v>
      </c>
      <c r="P6" s="3" t="s">
        <v>1712</v>
      </c>
      <c r="Q6" s="3"/>
      <c r="R6" s="11" t="s">
        <v>1706</v>
      </c>
      <c r="S6" s="11" t="s">
        <v>1707</v>
      </c>
      <c r="T6" s="3"/>
      <c r="U6" s="3"/>
      <c r="V6" s="3"/>
      <c r="W6" s="10">
        <f>IF( J6="s.i", "s.i", IF(ISBLANK(J6),"Actualizando información",IFERROR(J6 / VLOOKUP(A6,Deflactor!$G$3:$H$64,2,0),"Revisar error" )))</f>
        <v>15707200427.120035</v>
      </c>
      <c r="X6" t="s">
        <v>1713</v>
      </c>
      <c r="Y6" t="s">
        <v>1714</v>
      </c>
      <c r="Z6" t="s">
        <v>1715</v>
      </c>
      <c r="AA6" t="s">
        <v>1716</v>
      </c>
      <c r="AB6" t="s">
        <v>1717</v>
      </c>
      <c r="AC6" t="s">
        <v>1718</v>
      </c>
      <c r="AR6" s="34">
        <f xml:space="preserve"> 505952 * 1000</f>
        <v>505952000</v>
      </c>
      <c r="AT6" s="46">
        <f t="shared" si="0"/>
        <v>505952000</v>
      </c>
      <c r="AU6" s="54">
        <f xml:space="preserve"> IFERROR(ROUND(AT6 / VLOOKUP(A6,Tabla1[#All],2,0),0),"s.i")</f>
        <v>638649</v>
      </c>
      <c r="AV6" s="33">
        <f xml:space="preserve"> IF(AU6="s.i", "s.i", IF(AND(AU6&gt;=Deflactor!$BQ$298,AU6&lt;Deflactor!$BQ$299), Deflactor!$BP$298, IF(AND(AU6&gt;=Deflactor!$BQ$299,AU6&lt;Deflactor!$BQ$300), Deflactor!$BP$299, IF(AND(AU6&gt;=Deflactor!$BQ$300,AU6&lt;Deflactor!$BQ$301), Deflactor!$BP$300, IF(AND(AU6&gt;=Deflactor!$BQ$301,AU6&lt;Deflactor!$BQ$302), Deflactor!$BP$301, IF(AND(AU6&gt;=Deflactor!$BQ$302,AU6&lt;Deflactor!$BQ$303), Deflactor!$BP$302, IF(AND(AU6&gt;=Deflactor!$BQ$303,AU6&lt;Deflactor!$BQ$304), Deflactor!$BP$303, IF(AND(AU6&gt;=Deflactor!$BQ$304,AU6&lt;Deflactor!$BQ$305), Deflactor!$BP$304, IF(AND(AU6&gt;=Deflactor!$BQ$305,AU6&lt;Deflactor!$BQ$306), Deflactor!$BP$305, IF(AND(AU6&gt;=Deflactor!$BQ$306,AU6&lt;Deflactor!$BQ$307), Deflactor!$BP$306, Deflactor!$BP$307) ) ) ) ) ) ) ) ) )</f>
        <v>1</v>
      </c>
    </row>
    <row r="7" spans="1:48" x14ac:dyDescent="0.25">
      <c r="A7" s="3">
        <v>2020</v>
      </c>
      <c r="B7" s="3" t="s">
        <v>1301</v>
      </c>
      <c r="C7" s="3" t="s">
        <v>7</v>
      </c>
      <c r="D7" s="3" t="s">
        <v>36</v>
      </c>
      <c r="E7" s="3" t="s">
        <v>1302</v>
      </c>
      <c r="F7" s="3" t="s">
        <v>27</v>
      </c>
      <c r="G7" s="3" t="s">
        <v>723</v>
      </c>
      <c r="H7" s="3">
        <v>2019</v>
      </c>
      <c r="I7" s="3"/>
      <c r="J7" s="10">
        <f xml:space="preserve"> 84634.7 * 1000000</f>
        <v>84634700000</v>
      </c>
      <c r="K7" s="3" t="s">
        <v>763</v>
      </c>
      <c r="L7" s="3" t="s">
        <v>1721</v>
      </c>
      <c r="M7" s="3" t="s">
        <v>1722</v>
      </c>
      <c r="N7" s="3" t="s">
        <v>1723</v>
      </c>
      <c r="O7" s="3" t="s">
        <v>1724</v>
      </c>
      <c r="P7" s="3" t="s">
        <v>1725</v>
      </c>
      <c r="Q7" s="3"/>
      <c r="R7" s="11" t="s">
        <v>1719</v>
      </c>
      <c r="S7" s="11" t="s">
        <v>1720</v>
      </c>
      <c r="T7" s="3"/>
      <c r="U7" s="3"/>
      <c r="V7" s="3"/>
      <c r="W7" s="10">
        <f>IF( J7="s.i", "s.i", IF(ISBLANK(J7),"Actualizando información",IFERROR(J7 / VLOOKUP(A7,Deflactor!$G$3:$H$64,2,0),"Revisar error" )))</f>
        <v>64946021108.852257</v>
      </c>
      <c r="X7" t="s">
        <v>1727</v>
      </c>
      <c r="Y7" t="s">
        <v>1728</v>
      </c>
      <c r="Z7" t="s">
        <v>1729</v>
      </c>
      <c r="AA7" t="s">
        <v>1730</v>
      </c>
      <c r="AB7" t="s">
        <v>1731</v>
      </c>
      <c r="AC7" t="s">
        <v>1732</v>
      </c>
      <c r="AD7" t="s">
        <v>1733</v>
      </c>
      <c r="AE7" t="s">
        <v>1734</v>
      </c>
      <c r="AR7" s="10">
        <f xml:space="preserve"> (16343155 + 66460854) * 1000</f>
        <v>82804009000</v>
      </c>
      <c r="AT7" s="46">
        <f t="shared" si="0"/>
        <v>82804009000</v>
      </c>
      <c r="AU7" s="54">
        <f xml:space="preserve"> IFERROR(ROUND(AT7 / VLOOKUP(A7,Tabla1[#All],2,0),0),"s.i")</f>
        <v>104521241</v>
      </c>
      <c r="AV7" s="33">
        <f xml:space="preserve"> IF(AU7="s.i", "s.i", IF(AND(AU7&gt;=Deflactor!$BQ$298,AU7&lt;Deflactor!$BQ$299), Deflactor!$BP$298, IF(AND(AU7&gt;=Deflactor!$BQ$299,AU7&lt;Deflactor!$BQ$300), Deflactor!$BP$299, IF(AND(AU7&gt;=Deflactor!$BQ$300,AU7&lt;Deflactor!$BQ$301), Deflactor!$BP$300, IF(AND(AU7&gt;=Deflactor!$BQ$301,AU7&lt;Deflactor!$BQ$302), Deflactor!$BP$301, IF(AND(AU7&gt;=Deflactor!$BQ$302,AU7&lt;Deflactor!$BQ$303), Deflactor!$BP$302, IF(AND(AU7&gt;=Deflactor!$BQ$303,AU7&lt;Deflactor!$BQ$304), Deflactor!$BP$303, IF(AND(AU7&gt;=Deflactor!$BQ$304,AU7&lt;Deflactor!$BQ$305), Deflactor!$BP$304, IF(AND(AU7&gt;=Deflactor!$BQ$305,AU7&lt;Deflactor!$BQ$306), Deflactor!$BP$305, IF(AND(AU7&gt;=Deflactor!$BQ$306,AU7&lt;Deflactor!$BQ$307), Deflactor!$BP$306, Deflactor!$BP$307) ) ) ) ) ) ) ) ) )</f>
        <v>10</v>
      </c>
    </row>
    <row r="8" spans="1:48" s="33" customFormat="1" x14ac:dyDescent="0.25">
      <c r="A8" s="30">
        <v>2020</v>
      </c>
      <c r="B8" s="30" t="s">
        <v>1303</v>
      </c>
      <c r="C8" s="30" t="s">
        <v>7</v>
      </c>
      <c r="D8" s="30" t="s">
        <v>36</v>
      </c>
      <c r="E8" s="30" t="s">
        <v>81</v>
      </c>
      <c r="F8" s="30" t="s">
        <v>10</v>
      </c>
      <c r="G8" s="30" t="s">
        <v>723</v>
      </c>
      <c r="H8" s="30">
        <v>1996</v>
      </c>
      <c r="I8" s="30"/>
      <c r="J8" s="31">
        <f xml:space="preserve"> 11541 * 1000000</f>
        <v>11541000000</v>
      </c>
      <c r="K8" s="3" t="s">
        <v>2295</v>
      </c>
      <c r="L8" s="30" t="s">
        <v>1737</v>
      </c>
      <c r="M8" s="30" t="s">
        <v>1738</v>
      </c>
      <c r="N8" s="30" t="s">
        <v>1739</v>
      </c>
      <c r="O8" s="30" t="s">
        <v>1740</v>
      </c>
      <c r="P8" s="30" t="s">
        <v>1741</v>
      </c>
      <c r="Q8" s="30"/>
      <c r="R8" s="32" t="s">
        <v>1735</v>
      </c>
      <c r="S8" s="32" t="s">
        <v>1736</v>
      </c>
      <c r="T8" s="30"/>
      <c r="U8" s="30"/>
      <c r="V8" s="30"/>
      <c r="W8" s="31">
        <f>IF( J8="s.i", "s.i", IF(ISBLANK(J8),"Actualizando información",IFERROR(J8 / VLOOKUP(A8,Deflactor!$G$3:$H$64,2,0),"Revisar error" )))</f>
        <v>8856202356.9205532</v>
      </c>
      <c r="X8" s="33" t="s">
        <v>1742</v>
      </c>
      <c r="Y8" s="33" t="s">
        <v>1748</v>
      </c>
      <c r="Z8" s="33" t="s">
        <v>1749</v>
      </c>
      <c r="AA8" s="33" t="s">
        <v>1750</v>
      </c>
      <c r="AB8" s="33" t="s">
        <v>1751</v>
      </c>
      <c r="AC8" s="33" t="s">
        <v>1752</v>
      </c>
      <c r="AD8" s="33" t="s">
        <v>1753</v>
      </c>
      <c r="AE8" s="33" t="s">
        <v>1754</v>
      </c>
      <c r="AF8" s="33" t="s">
        <v>1755</v>
      </c>
      <c r="AG8" s="33" t="s">
        <v>1756</v>
      </c>
      <c r="AR8" s="10">
        <f xml:space="preserve"> 11405939 * 1000</f>
        <v>11405939000</v>
      </c>
      <c r="AS8" s="42"/>
      <c r="AT8" s="46">
        <f t="shared" si="0"/>
        <v>11405939000</v>
      </c>
      <c r="AU8" s="54">
        <f xml:space="preserve"> IFERROR(ROUND(AT8 / VLOOKUP(A8,Tabla1[#All],2,0),0),"s.i")</f>
        <v>14397406</v>
      </c>
      <c r="AV8" s="33">
        <f xml:space="preserve"> IF(AU8="s.i", "s.i", IF(AND(AU8&gt;=Deflactor!$BQ$298,AU8&lt;Deflactor!$BQ$299), Deflactor!$BP$298, IF(AND(AU8&gt;=Deflactor!$BQ$299,AU8&lt;Deflactor!$BQ$300), Deflactor!$BP$299, IF(AND(AU8&gt;=Deflactor!$BQ$300,AU8&lt;Deflactor!$BQ$301), Deflactor!$BP$300, IF(AND(AU8&gt;=Deflactor!$BQ$301,AU8&lt;Deflactor!$BQ$302), Deflactor!$BP$301, IF(AND(AU8&gt;=Deflactor!$BQ$302,AU8&lt;Deflactor!$BQ$303), Deflactor!$BP$302, IF(AND(AU8&gt;=Deflactor!$BQ$303,AU8&lt;Deflactor!$BQ$304), Deflactor!$BP$303, IF(AND(AU8&gt;=Deflactor!$BQ$304,AU8&lt;Deflactor!$BQ$305), Deflactor!$BP$304, IF(AND(AU8&gt;=Deflactor!$BQ$305,AU8&lt;Deflactor!$BQ$306), Deflactor!$BP$305, IF(AND(AU8&gt;=Deflactor!$BQ$306,AU8&lt;Deflactor!$BQ$307), Deflactor!$BP$306, Deflactor!$BP$307) ) ) ) ) ) ) ) ) )</f>
        <v>5</v>
      </c>
    </row>
    <row r="9" spans="1:48" s="33" customFormat="1" x14ac:dyDescent="0.25">
      <c r="A9" s="30">
        <v>2020</v>
      </c>
      <c r="B9" s="30" t="s">
        <v>1304</v>
      </c>
      <c r="C9" s="30" t="s">
        <v>7</v>
      </c>
      <c r="D9" s="30" t="s">
        <v>54</v>
      </c>
      <c r="E9" s="30" t="s">
        <v>55</v>
      </c>
      <c r="F9" s="30" t="s">
        <v>10</v>
      </c>
      <c r="G9" s="30" t="s">
        <v>723</v>
      </c>
      <c r="H9" s="30">
        <v>2015</v>
      </c>
      <c r="I9" s="30"/>
      <c r="J9" s="31">
        <f xml:space="preserve"> 14064 * 1000000</f>
        <v>14064000000</v>
      </c>
      <c r="K9" s="30" t="s">
        <v>1761</v>
      </c>
      <c r="L9" s="30" t="s">
        <v>1759</v>
      </c>
      <c r="M9" s="30" t="s">
        <v>1763</v>
      </c>
      <c r="N9" s="30" t="s">
        <v>1762</v>
      </c>
      <c r="O9" s="30" t="s">
        <v>1766</v>
      </c>
      <c r="P9" s="30" t="s">
        <v>1765</v>
      </c>
      <c r="Q9" s="30" t="s">
        <v>1764</v>
      </c>
      <c r="R9" s="32" t="s">
        <v>1757</v>
      </c>
      <c r="S9" s="32" t="s">
        <v>1758</v>
      </c>
      <c r="T9" s="30"/>
      <c r="U9" s="30"/>
      <c r="V9" s="30"/>
      <c r="W9" s="31">
        <f>IF( J9="s.i", "s.i", IF(ISBLANK(J9),"Actualizando información",IFERROR(J9 / VLOOKUP(A9,Deflactor!$G$3:$H$64,2,0),"Revisar error" )))</f>
        <v>10792273628.60503</v>
      </c>
      <c r="X9" s="33" t="s">
        <v>1768</v>
      </c>
      <c r="Y9" s="33" t="s">
        <v>1769</v>
      </c>
      <c r="Z9" s="33" t="s">
        <v>1770</v>
      </c>
      <c r="AA9" s="33" t="s">
        <v>1771</v>
      </c>
      <c r="AB9" s="33" t="s">
        <v>1772</v>
      </c>
      <c r="AC9" s="33" t="s">
        <v>1773</v>
      </c>
      <c r="AD9" s="33" t="s">
        <v>1774</v>
      </c>
      <c r="AE9" s="33" t="s">
        <v>1775</v>
      </c>
      <c r="AF9" s="33" t="s">
        <v>1776</v>
      </c>
      <c r="AG9" s="33" t="s">
        <v>1777</v>
      </c>
      <c r="AH9" s="33" t="s">
        <v>1778</v>
      </c>
      <c r="AI9" s="33" t="s">
        <v>1779</v>
      </c>
      <c r="AJ9" s="33" t="s">
        <v>1780</v>
      </c>
      <c r="AK9" s="33" t="s">
        <v>1781</v>
      </c>
      <c r="AR9" s="34" t="s">
        <v>2357</v>
      </c>
      <c r="AS9" s="42"/>
      <c r="AT9" s="46" t="str">
        <f>'Notas reunion'!T25</f>
        <v>s.i</v>
      </c>
      <c r="AU9" s="54" t="str">
        <f xml:space="preserve"> IFERROR(ROUND(AT9 / VLOOKUP(A9,Tabla1[#All],2,0),0),"s.i")</f>
        <v>s.i</v>
      </c>
      <c r="AV9" s="33" t="str">
        <f xml:space="preserve"> IF(AU9="s.i", "s.i", IF(AND(AU9&gt;=Deflactor!$BQ$298,AU9&lt;Deflactor!$BQ$299), Deflactor!$BP$298, IF(AND(AU9&gt;=Deflactor!$BQ$299,AU9&lt;Deflactor!$BQ$300), Deflactor!$BP$299, IF(AND(AU9&gt;=Deflactor!$BQ$300,AU9&lt;Deflactor!$BQ$301), Deflactor!$BP$300, IF(AND(AU9&gt;=Deflactor!$BQ$301,AU9&lt;Deflactor!$BQ$302), Deflactor!$BP$301, IF(AND(AU9&gt;=Deflactor!$BQ$302,AU9&lt;Deflactor!$BQ$303), Deflactor!$BP$302, IF(AND(AU9&gt;=Deflactor!$BQ$303,AU9&lt;Deflactor!$BQ$304), Deflactor!$BP$303, IF(AND(AU9&gt;=Deflactor!$BQ$304,AU9&lt;Deflactor!$BQ$305), Deflactor!$BP$304, IF(AND(AU9&gt;=Deflactor!$BQ$305,AU9&lt;Deflactor!$BQ$306), Deflactor!$BP$305, IF(AND(AU9&gt;=Deflactor!$BQ$306,AU9&lt;Deflactor!$BQ$307), Deflactor!$BP$306, Deflactor!$BP$307) ) ) ) ) ) ) ) ) )</f>
        <v>s.i</v>
      </c>
    </row>
    <row r="10" spans="1:48" s="33" customFormat="1" x14ac:dyDescent="0.25">
      <c r="A10" s="30">
        <v>2020</v>
      </c>
      <c r="B10" s="30" t="s">
        <v>1305</v>
      </c>
      <c r="C10" s="30" t="s">
        <v>7</v>
      </c>
      <c r="D10" s="30" t="s">
        <v>36</v>
      </c>
      <c r="E10" s="30" t="s">
        <v>1306</v>
      </c>
      <c r="F10" s="30" t="s">
        <v>10</v>
      </c>
      <c r="G10" s="30" t="s">
        <v>723</v>
      </c>
      <c r="H10" s="30">
        <v>1990</v>
      </c>
      <c r="I10" s="30"/>
      <c r="J10" s="31">
        <f xml:space="preserve"> 334703 * 1000000</f>
        <v>334703000000</v>
      </c>
      <c r="K10" s="30" t="s">
        <v>1786</v>
      </c>
      <c r="L10" s="30" t="s">
        <v>1784</v>
      </c>
      <c r="M10" s="30" t="s">
        <v>1785</v>
      </c>
      <c r="N10" s="30" t="s">
        <v>1787</v>
      </c>
      <c r="O10" s="30" t="s">
        <v>1790</v>
      </c>
      <c r="P10" s="30" t="s">
        <v>1791</v>
      </c>
      <c r="Q10" s="30"/>
      <c r="R10" s="32" t="s">
        <v>1782</v>
      </c>
      <c r="S10" s="32" t="s">
        <v>1783</v>
      </c>
      <c r="T10" s="30"/>
      <c r="U10" s="30"/>
      <c r="V10" s="30"/>
      <c r="W10" s="31">
        <f>IF( J10="s.i", "s.i", IF(ISBLANK(J10),"Actualizando información",IFERROR(J10 / VLOOKUP(A10,Deflactor!$G$3:$H$64,2,0),"Revisar error" )))</f>
        <v>256840611512.72678</v>
      </c>
      <c r="X10" s="33" t="s">
        <v>1792</v>
      </c>
      <c r="Y10" s="33" t="s">
        <v>1793</v>
      </c>
      <c r="Z10" s="33" t="s">
        <v>1794</v>
      </c>
      <c r="AA10" s="33" t="s">
        <v>1795</v>
      </c>
      <c r="AB10" s="33" t="s">
        <v>1796</v>
      </c>
      <c r="AC10" s="33" t="s">
        <v>1797</v>
      </c>
      <c r="AD10" s="33" t="s">
        <v>1798</v>
      </c>
      <c r="AE10" s="33" t="s">
        <v>1799</v>
      </c>
      <c r="AF10" s="33" t="s">
        <v>1800</v>
      </c>
      <c r="AG10" s="33" t="s">
        <v>1801</v>
      </c>
      <c r="AH10" s="33" t="s">
        <v>1805</v>
      </c>
      <c r="AI10" s="33" t="s">
        <v>1802</v>
      </c>
      <c r="AJ10" s="33" t="s">
        <v>1803</v>
      </c>
      <c r="AK10" s="33" t="s">
        <v>1804</v>
      </c>
      <c r="AR10" s="34">
        <f xml:space="preserve"> (340757129 + 13792128) * 1000</f>
        <v>354549257000</v>
      </c>
      <c r="AS10" s="42"/>
      <c r="AT10" s="46">
        <f t="shared" si="0"/>
        <v>354549257000</v>
      </c>
      <c r="AU10" s="54">
        <f xml:space="preserve"> IFERROR(ROUND(AT10 / VLOOKUP(A10,Tabla1[#All],2,0),0),"s.i")</f>
        <v>447537852</v>
      </c>
      <c r="AV10" s="33">
        <f xml:space="preserve"> IF(AU10="s.i", "s.i", IF(AND(AU10&gt;=Deflactor!$BQ$298,AU10&lt;Deflactor!$BQ$299), Deflactor!$BP$298, IF(AND(AU10&gt;=Deflactor!$BQ$299,AU10&lt;Deflactor!$BQ$300), Deflactor!$BP$299, IF(AND(AU10&gt;=Deflactor!$BQ$300,AU10&lt;Deflactor!$BQ$301), Deflactor!$BP$300, IF(AND(AU10&gt;=Deflactor!$BQ$301,AU10&lt;Deflactor!$BQ$302), Deflactor!$BP$301, IF(AND(AU10&gt;=Deflactor!$BQ$302,AU10&lt;Deflactor!$BQ$303), Deflactor!$BP$302, IF(AND(AU10&gt;=Deflactor!$BQ$303,AU10&lt;Deflactor!$BQ$304), Deflactor!$BP$303, IF(AND(AU10&gt;=Deflactor!$BQ$304,AU10&lt;Deflactor!$BQ$305), Deflactor!$BP$304, IF(AND(AU10&gt;=Deflactor!$BQ$305,AU10&lt;Deflactor!$BQ$306), Deflactor!$BP$305, IF(AND(AU10&gt;=Deflactor!$BQ$306,AU10&lt;Deflactor!$BQ$307), Deflactor!$BP$306, Deflactor!$BP$307) ) ) ) ) ) ) ) ) )</f>
        <v>10</v>
      </c>
    </row>
    <row r="11" spans="1:48" s="33" customFormat="1" x14ac:dyDescent="0.25">
      <c r="A11" s="30">
        <v>2020</v>
      </c>
      <c r="B11" s="30" t="s">
        <v>390</v>
      </c>
      <c r="C11" s="30" t="s">
        <v>7</v>
      </c>
      <c r="D11" s="30" t="s">
        <v>17</v>
      </c>
      <c r="E11" s="30" t="s">
        <v>18</v>
      </c>
      <c r="F11" s="30" t="s">
        <v>10</v>
      </c>
      <c r="G11" s="30" t="s">
        <v>723</v>
      </c>
      <c r="H11" s="30">
        <v>1992</v>
      </c>
      <c r="I11" s="30"/>
      <c r="J11" s="31">
        <f xml:space="preserve"> 16035 * 1000000</f>
        <v>16035000000</v>
      </c>
      <c r="K11" s="30" t="s">
        <v>2278</v>
      </c>
      <c r="L11" s="30" t="s">
        <v>1808</v>
      </c>
      <c r="M11" s="30" t="s">
        <v>1809</v>
      </c>
      <c r="N11" s="30" t="s">
        <v>1810</v>
      </c>
      <c r="O11" s="30" t="s">
        <v>1811</v>
      </c>
      <c r="P11" s="30" t="s">
        <v>1812</v>
      </c>
      <c r="Q11" s="30"/>
      <c r="R11" s="32" t="s">
        <v>1806</v>
      </c>
      <c r="S11" s="32" t="s">
        <v>1807</v>
      </c>
      <c r="T11" s="30"/>
      <c r="U11" s="30"/>
      <c r="V11" s="30"/>
      <c r="W11" s="31">
        <f>IF( J11="s.i", "s.i", IF(ISBLANK(J11),"Actualizando información",IFERROR(J11 / VLOOKUP(A11,Deflactor!$G$3:$H$64,2,0),"Revisar error" )))</f>
        <v>12304757368.791359</v>
      </c>
      <c r="X11" s="33" t="s">
        <v>1813</v>
      </c>
      <c r="Y11" s="33" t="s">
        <v>1814</v>
      </c>
      <c r="Z11" s="33" t="s">
        <v>1815</v>
      </c>
      <c r="AA11" s="33" t="s">
        <v>1816</v>
      </c>
      <c r="AB11" s="33" t="s">
        <v>1817</v>
      </c>
      <c r="AC11" s="33" t="s">
        <v>1818</v>
      </c>
      <c r="AD11" s="33" t="s">
        <v>1819</v>
      </c>
      <c r="AE11" s="33" t="s">
        <v>1820</v>
      </c>
      <c r="AF11" s="33" t="s">
        <v>1821</v>
      </c>
      <c r="AG11" s="33" t="s">
        <v>1822</v>
      </c>
      <c r="AH11" s="33" t="s">
        <v>1823</v>
      </c>
      <c r="AR11" s="10">
        <f xml:space="preserve"> 15328954 * 1000</f>
        <v>15328954000</v>
      </c>
      <c r="AS11" s="42"/>
      <c r="AT11" s="46">
        <f t="shared" si="0"/>
        <v>15328954000</v>
      </c>
      <c r="AU11" s="54">
        <f xml:space="preserve"> IFERROR(ROUND(AT11 / VLOOKUP(A11,Tabla1[#All],2,0),0),"s.i")</f>
        <v>19349320</v>
      </c>
      <c r="AV11" s="33">
        <f xml:space="preserve"> IF(AU11="s.i", "s.i", IF(AND(AU11&gt;=Deflactor!$BQ$298,AU11&lt;Deflactor!$BQ$299), Deflactor!$BP$298, IF(AND(AU11&gt;=Deflactor!$BQ$299,AU11&lt;Deflactor!$BQ$300), Deflactor!$BP$299, IF(AND(AU11&gt;=Deflactor!$BQ$300,AU11&lt;Deflactor!$BQ$301), Deflactor!$BP$300, IF(AND(AU11&gt;=Deflactor!$BQ$301,AU11&lt;Deflactor!$BQ$302), Deflactor!$BP$301, IF(AND(AU11&gt;=Deflactor!$BQ$302,AU11&lt;Deflactor!$BQ$303), Deflactor!$BP$302, IF(AND(AU11&gt;=Deflactor!$BQ$303,AU11&lt;Deflactor!$BQ$304), Deflactor!$BP$303, IF(AND(AU11&gt;=Deflactor!$BQ$304,AU11&lt;Deflactor!$BQ$305), Deflactor!$BP$304, IF(AND(AU11&gt;=Deflactor!$BQ$305,AU11&lt;Deflactor!$BQ$306), Deflactor!$BP$305, IF(AND(AU11&gt;=Deflactor!$BQ$306,AU11&lt;Deflactor!$BQ$307), Deflactor!$BP$306, Deflactor!$BP$307) ) ) ) ) ) ) ) ) )</f>
        <v>6</v>
      </c>
    </row>
    <row r="12" spans="1:48" s="33" customFormat="1" x14ac:dyDescent="0.25">
      <c r="A12" s="30">
        <v>2020</v>
      </c>
      <c r="B12" s="30" t="s">
        <v>271</v>
      </c>
      <c r="C12" s="30" t="s">
        <v>7</v>
      </c>
      <c r="D12" s="30" t="s">
        <v>40</v>
      </c>
      <c r="E12" s="30" t="s">
        <v>1307</v>
      </c>
      <c r="F12" s="30" t="s">
        <v>10</v>
      </c>
      <c r="G12" s="30" t="s">
        <v>723</v>
      </c>
      <c r="H12" s="30">
        <v>2006</v>
      </c>
      <c r="I12" s="30"/>
      <c r="J12" s="31">
        <f xml:space="preserve"> 10919 * 1000000</f>
        <v>10919000000</v>
      </c>
      <c r="K12" s="30" t="s">
        <v>1830</v>
      </c>
      <c r="L12" s="30" t="s">
        <v>1826</v>
      </c>
      <c r="M12" s="30" t="s">
        <v>1552</v>
      </c>
      <c r="N12" s="30" t="s">
        <v>1827</v>
      </c>
      <c r="O12" s="30" t="s">
        <v>1828</v>
      </c>
      <c r="P12" s="30" t="s">
        <v>1829</v>
      </c>
      <c r="Q12" s="30"/>
      <c r="R12" s="32" t="s">
        <v>1824</v>
      </c>
      <c r="S12" s="32" t="s">
        <v>1825</v>
      </c>
      <c r="T12" s="30"/>
      <c r="U12" s="30"/>
      <c r="V12" s="30"/>
      <c r="W12" s="31">
        <f>IF( J12="s.i", "s.i", IF(ISBLANK(J12),"Actualizando información",IFERROR(J12 / VLOOKUP(A12,Deflactor!$G$3:$H$64,2,0),"Revisar error" )))</f>
        <v>8378899015.2686529</v>
      </c>
      <c r="X12" s="33" t="s">
        <v>1831</v>
      </c>
      <c r="Y12" s="33" t="s">
        <v>1832</v>
      </c>
      <c r="Z12" s="33" t="s">
        <v>1833</v>
      </c>
      <c r="AA12" s="33" t="s">
        <v>1834</v>
      </c>
      <c r="AB12" s="33" t="s">
        <v>1835</v>
      </c>
      <c r="AC12" s="33" t="s">
        <v>1836</v>
      </c>
      <c r="AD12" s="33" t="s">
        <v>1837</v>
      </c>
      <c r="AE12" s="33" t="s">
        <v>1838</v>
      </c>
      <c r="AF12" s="33" t="s">
        <v>1839</v>
      </c>
      <c r="AG12" s="33" t="s">
        <v>1840</v>
      </c>
      <c r="AH12" s="33" t="s">
        <v>1841</v>
      </c>
      <c r="AR12" s="10">
        <f xml:space="preserve"> 10105074 * 1000</f>
        <v>10105074000</v>
      </c>
      <c r="AS12" s="42"/>
      <c r="AT12" s="46">
        <f t="shared" si="0"/>
        <v>10105074000</v>
      </c>
      <c r="AU12" s="54">
        <f xml:space="preserve"> IFERROR(ROUND(AT12 / VLOOKUP(A12,Tabla1[#All],2,0),0),"s.i")</f>
        <v>12755359</v>
      </c>
      <c r="AV12" s="33">
        <f xml:space="preserve"> IF(AU12="s.i", "s.i", IF(AND(AU12&gt;=Deflactor!$BQ$298,AU12&lt;Deflactor!$BQ$299), Deflactor!$BP$298, IF(AND(AU12&gt;=Deflactor!$BQ$299,AU12&lt;Deflactor!$BQ$300), Deflactor!$BP$299, IF(AND(AU12&gt;=Deflactor!$BQ$300,AU12&lt;Deflactor!$BQ$301), Deflactor!$BP$300, IF(AND(AU12&gt;=Deflactor!$BQ$301,AU12&lt;Deflactor!$BQ$302), Deflactor!$BP$301, IF(AND(AU12&gt;=Deflactor!$BQ$302,AU12&lt;Deflactor!$BQ$303), Deflactor!$BP$302, IF(AND(AU12&gt;=Deflactor!$BQ$303,AU12&lt;Deflactor!$BQ$304), Deflactor!$BP$303, IF(AND(AU12&gt;=Deflactor!$BQ$304,AU12&lt;Deflactor!$BQ$305), Deflactor!$BP$304, IF(AND(AU12&gt;=Deflactor!$BQ$305,AU12&lt;Deflactor!$BQ$306), Deflactor!$BP$305, IF(AND(AU12&gt;=Deflactor!$BQ$306,AU12&lt;Deflactor!$BQ$307), Deflactor!$BP$306, Deflactor!$BP$307) ) ) ) ) ) ) ) ) )</f>
        <v>5</v>
      </c>
    </row>
    <row r="13" spans="1:48" s="33" customFormat="1" x14ac:dyDescent="0.25">
      <c r="A13" s="30">
        <v>2020</v>
      </c>
      <c r="B13" s="30" t="s">
        <v>1308</v>
      </c>
      <c r="C13" s="30" t="s">
        <v>67</v>
      </c>
      <c r="D13" s="30" t="s">
        <v>54</v>
      </c>
      <c r="E13" s="30" t="s">
        <v>236</v>
      </c>
      <c r="F13" s="30" t="s">
        <v>27</v>
      </c>
      <c r="G13" s="30" t="s">
        <v>723</v>
      </c>
      <c r="H13" s="30">
        <v>1954</v>
      </c>
      <c r="I13" s="30"/>
      <c r="J13" s="31">
        <f xml:space="preserve"> 74737 * 1000000</f>
        <v>74737000000</v>
      </c>
      <c r="K13" s="30" t="s">
        <v>1845</v>
      </c>
      <c r="L13" s="30" t="s">
        <v>1696</v>
      </c>
      <c r="M13" s="30" t="s">
        <v>1844</v>
      </c>
      <c r="N13" s="30" t="s">
        <v>1846</v>
      </c>
      <c r="O13" s="30" t="s">
        <v>1847</v>
      </c>
      <c r="P13" s="30" t="s">
        <v>1848</v>
      </c>
      <c r="Q13" s="30"/>
      <c r="R13" s="32" t="s">
        <v>1842</v>
      </c>
      <c r="S13" s="32" t="s">
        <v>1843</v>
      </c>
      <c r="T13" s="30"/>
      <c r="U13" s="30" t="s">
        <v>1325</v>
      </c>
      <c r="V13" s="30"/>
      <c r="W13" s="31">
        <f>IF( J13="s.i", "s.i", IF(ISBLANK(J13),"Actualizando información",IFERROR(J13 / VLOOKUP(A13,Deflactor!$G$3:$H$64,2,0),"Revisar error" )))</f>
        <v>57350835763.72683</v>
      </c>
      <c r="X13" s="33" t="s">
        <v>1849</v>
      </c>
      <c r="Y13" s="33" t="s">
        <v>1850</v>
      </c>
      <c r="Z13" s="33" t="s">
        <v>1851</v>
      </c>
      <c r="AA13" s="33" t="s">
        <v>1852</v>
      </c>
      <c r="AB13" s="33" t="s">
        <v>1853</v>
      </c>
      <c r="AC13" s="33" t="s">
        <v>1854</v>
      </c>
      <c r="AD13" s="33" t="s">
        <v>1855</v>
      </c>
      <c r="AE13" s="33" t="s">
        <v>1856</v>
      </c>
      <c r="AF13" s="33" t="s">
        <v>1857</v>
      </c>
      <c r="AG13" s="33" t="s">
        <v>1858</v>
      </c>
      <c r="AR13" s="34">
        <f xml:space="preserve"> 24562966 * 1000</f>
        <v>24562966000</v>
      </c>
      <c r="AS13" s="42"/>
      <c r="AT13" s="46">
        <f t="shared" si="0"/>
        <v>24562966000</v>
      </c>
      <c r="AU13" s="54">
        <f xml:space="preserve"> IFERROR(ROUND(AT13 / VLOOKUP(A13,Tabla1[#All],2,0),0),"s.i")</f>
        <v>31005162</v>
      </c>
      <c r="AV13" s="33">
        <f xml:space="preserve"> IF(AU13="s.i", "s.i", IF(AND(AU13&gt;=Deflactor!$BQ$298,AU13&lt;Deflactor!$BQ$299), Deflactor!$BP$298, IF(AND(AU13&gt;=Deflactor!$BQ$299,AU13&lt;Deflactor!$BQ$300), Deflactor!$BP$299, IF(AND(AU13&gt;=Deflactor!$BQ$300,AU13&lt;Deflactor!$BQ$301), Deflactor!$BP$300, IF(AND(AU13&gt;=Deflactor!$BQ$301,AU13&lt;Deflactor!$BQ$302), Deflactor!$BP$301, IF(AND(AU13&gt;=Deflactor!$BQ$302,AU13&lt;Deflactor!$BQ$303), Deflactor!$BP$302, IF(AND(AU13&gt;=Deflactor!$BQ$303,AU13&lt;Deflactor!$BQ$304), Deflactor!$BP$303, IF(AND(AU13&gt;=Deflactor!$BQ$304,AU13&lt;Deflactor!$BQ$305), Deflactor!$BP$304, IF(AND(AU13&gt;=Deflactor!$BQ$305,AU13&lt;Deflactor!$BQ$306), Deflactor!$BP$305, IF(AND(AU13&gt;=Deflactor!$BQ$306,AU13&lt;Deflactor!$BQ$307), Deflactor!$BP$306, Deflactor!$BP$307) ) ) ) ) ) ) ) ) )</f>
        <v>8</v>
      </c>
    </row>
    <row r="14" spans="1:48" s="33" customFormat="1" x14ac:dyDescent="0.25">
      <c r="A14" s="30">
        <v>2020</v>
      </c>
      <c r="B14" s="30" t="s">
        <v>1309</v>
      </c>
      <c r="C14" s="30" t="s">
        <v>67</v>
      </c>
      <c r="D14" s="30" t="s">
        <v>54</v>
      </c>
      <c r="E14" s="30" t="s">
        <v>55</v>
      </c>
      <c r="F14" s="30" t="s">
        <v>14</v>
      </c>
      <c r="G14" s="30" t="s">
        <v>723</v>
      </c>
      <c r="H14" s="30">
        <v>1998</v>
      </c>
      <c r="I14" s="30"/>
      <c r="J14" s="31" t="s">
        <v>623</v>
      </c>
      <c r="K14" s="30" t="s">
        <v>1864</v>
      </c>
      <c r="L14" s="30" t="s">
        <v>1868</v>
      </c>
      <c r="M14" s="30" t="s">
        <v>1861</v>
      </c>
      <c r="N14" s="30" t="s">
        <v>1865</v>
      </c>
      <c r="O14" s="30" t="s">
        <v>1866</v>
      </c>
      <c r="P14" s="30" t="s">
        <v>1867</v>
      </c>
      <c r="Q14" s="30"/>
      <c r="R14" s="32" t="s">
        <v>1859</v>
      </c>
      <c r="S14" s="32" t="s">
        <v>1860</v>
      </c>
      <c r="T14" s="30"/>
      <c r="U14" s="30"/>
      <c r="V14" s="30"/>
      <c r="W14" s="31" t="str">
        <f>IF( J14="s.i", "s.i", IF(ISBLANK(J14),"Actualizando información",IFERROR(J14 / VLOOKUP(A14,Deflactor!$G$3:$H$64,2,0),"Revisar error" )))</f>
        <v>s.i</v>
      </c>
      <c r="X14" s="33" t="s">
        <v>1869</v>
      </c>
      <c r="Y14" s="33" t="s">
        <v>1870</v>
      </c>
      <c r="Z14" s="33" t="s">
        <v>1871</v>
      </c>
      <c r="AA14" s="33" t="s">
        <v>1872</v>
      </c>
      <c r="AB14" s="33" t="s">
        <v>1873</v>
      </c>
      <c r="AC14" s="33" t="s">
        <v>1874</v>
      </c>
      <c r="AR14" s="34" t="s">
        <v>2357</v>
      </c>
      <c r="AS14" s="42"/>
      <c r="AT14" s="46">
        <f>'Notas reunion'!T26</f>
        <v>10390000000</v>
      </c>
      <c r="AU14" s="54">
        <f xml:space="preserve"> IFERROR(ROUND(AT14 / VLOOKUP(A14,Tabla1[#All],2,0),0),"s.i")</f>
        <v>13115013</v>
      </c>
      <c r="AV14" s="33">
        <f xml:space="preserve"> IF(AU14="s.i", "s.i", IF(AND(AU14&gt;=Deflactor!$BQ$298,AU14&lt;Deflactor!$BQ$299), Deflactor!$BP$298, IF(AND(AU14&gt;=Deflactor!$BQ$299,AU14&lt;Deflactor!$BQ$300), Deflactor!$BP$299, IF(AND(AU14&gt;=Deflactor!$BQ$300,AU14&lt;Deflactor!$BQ$301), Deflactor!$BP$300, IF(AND(AU14&gt;=Deflactor!$BQ$301,AU14&lt;Deflactor!$BQ$302), Deflactor!$BP$301, IF(AND(AU14&gt;=Deflactor!$BQ$302,AU14&lt;Deflactor!$BQ$303), Deflactor!$BP$302, IF(AND(AU14&gt;=Deflactor!$BQ$303,AU14&lt;Deflactor!$BQ$304), Deflactor!$BP$303, IF(AND(AU14&gt;=Deflactor!$BQ$304,AU14&lt;Deflactor!$BQ$305), Deflactor!$BP$304, IF(AND(AU14&gt;=Deflactor!$BQ$305,AU14&lt;Deflactor!$BQ$306), Deflactor!$BP$305, IF(AND(AU14&gt;=Deflactor!$BQ$306,AU14&lt;Deflactor!$BQ$307), Deflactor!$BP$306, Deflactor!$BP$307) ) ) ) ) ) ) ) ) )</f>
        <v>5</v>
      </c>
    </row>
    <row r="15" spans="1:48" s="33" customFormat="1" x14ac:dyDescent="0.25">
      <c r="A15" s="30">
        <v>2020</v>
      </c>
      <c r="B15" s="30" t="s">
        <v>1310</v>
      </c>
      <c r="C15" s="30" t="s">
        <v>7</v>
      </c>
      <c r="D15" s="30" t="s">
        <v>233</v>
      </c>
      <c r="E15" s="30" t="s">
        <v>234</v>
      </c>
      <c r="F15" s="30" t="s">
        <v>14</v>
      </c>
      <c r="G15" s="30" t="s">
        <v>723</v>
      </c>
      <c r="H15" s="30">
        <v>2009</v>
      </c>
      <c r="I15" s="30"/>
      <c r="J15" s="31">
        <f xml:space="preserve"> 862718 * 1000000</f>
        <v>862718000000</v>
      </c>
      <c r="K15" s="30" t="s">
        <v>2535</v>
      </c>
      <c r="L15" s="30" t="s">
        <v>1877</v>
      </c>
      <c r="M15" s="30" t="s">
        <v>1878</v>
      </c>
      <c r="N15" s="30" t="s">
        <v>1879</v>
      </c>
      <c r="O15" s="30" t="s">
        <v>1880</v>
      </c>
      <c r="P15" s="30" t="s">
        <v>1881</v>
      </c>
      <c r="Q15" s="30" t="s">
        <v>1891</v>
      </c>
      <c r="R15" s="32" t="s">
        <v>1875</v>
      </c>
      <c r="S15" s="32" t="s">
        <v>1876</v>
      </c>
      <c r="T15" s="30"/>
      <c r="U15" s="30" t="s">
        <v>1326</v>
      </c>
      <c r="V15" s="30"/>
      <c r="W15" s="31">
        <f>IF( J15="s.i", "s.i", IF(ISBLANK(J15),"Actualizando información",IFERROR(J15 / VLOOKUP(A15,Deflactor!$G$3:$H$64,2,0),"Revisar error" )))</f>
        <v>662022804346.052</v>
      </c>
      <c r="X15" s="33" t="s">
        <v>1882</v>
      </c>
      <c r="Y15" s="33" t="s">
        <v>1883</v>
      </c>
      <c r="Z15" s="33" t="s">
        <v>1884</v>
      </c>
      <c r="AA15" s="33" t="s">
        <v>1885</v>
      </c>
      <c r="AB15" s="33" t="s">
        <v>1886</v>
      </c>
      <c r="AC15" s="33" t="s">
        <v>1887</v>
      </c>
      <c r="AD15" s="33" t="s">
        <v>1888</v>
      </c>
      <c r="AE15" s="33" t="s">
        <v>1889</v>
      </c>
      <c r="AF15" s="33" t="s">
        <v>1890</v>
      </c>
      <c r="AR15" s="10">
        <f xml:space="preserve"> 862640663 * 1000</f>
        <v>862640663000</v>
      </c>
      <c r="AS15" s="42"/>
      <c r="AT15" s="46">
        <f t="shared" si="0"/>
        <v>862640663000</v>
      </c>
      <c r="AU15" s="54">
        <f xml:space="preserve"> IFERROR(ROUND(AT15 / VLOOKUP(A15,Tabla1[#All],2,0),0),"s.i")</f>
        <v>1088887768</v>
      </c>
      <c r="AV15" s="33">
        <f xml:space="preserve"> IF(AU15="s.i", "s.i", IF(AND(AU15&gt;=Deflactor!$BQ$298,AU15&lt;Deflactor!$BQ$299), Deflactor!$BP$298, IF(AND(AU15&gt;=Deflactor!$BQ$299,AU15&lt;Deflactor!$BQ$300), Deflactor!$BP$299, IF(AND(AU15&gt;=Deflactor!$BQ$300,AU15&lt;Deflactor!$BQ$301), Deflactor!$BP$300, IF(AND(AU15&gt;=Deflactor!$BQ$301,AU15&lt;Deflactor!$BQ$302), Deflactor!$BP$301, IF(AND(AU15&gt;=Deflactor!$BQ$302,AU15&lt;Deflactor!$BQ$303), Deflactor!$BP$302, IF(AND(AU15&gt;=Deflactor!$BQ$303,AU15&lt;Deflactor!$BQ$304), Deflactor!$BP$303, IF(AND(AU15&gt;=Deflactor!$BQ$304,AU15&lt;Deflactor!$BQ$305), Deflactor!$BP$304, IF(AND(AU15&gt;=Deflactor!$BQ$305,AU15&lt;Deflactor!$BQ$306), Deflactor!$BP$305, IF(AND(AU15&gt;=Deflactor!$BQ$306,AU15&lt;Deflactor!$BQ$307), Deflactor!$BP$306, Deflactor!$BP$307) ) ) ) ) ) ) ) ) )</f>
        <v>10</v>
      </c>
    </row>
    <row r="16" spans="1:48" s="33" customFormat="1" x14ac:dyDescent="0.25">
      <c r="A16" s="30">
        <v>2020</v>
      </c>
      <c r="B16" s="30" t="s">
        <v>1311</v>
      </c>
      <c r="C16" s="30" t="s">
        <v>67</v>
      </c>
      <c r="D16" s="30" t="s">
        <v>32</v>
      </c>
      <c r="E16" s="30" t="s">
        <v>33</v>
      </c>
      <c r="F16" s="30" t="s">
        <v>10</v>
      </c>
      <c r="G16" s="30" t="s">
        <v>723</v>
      </c>
      <c r="H16" s="30">
        <v>1995</v>
      </c>
      <c r="I16" s="30"/>
      <c r="J16" s="31">
        <f xml:space="preserve"> 10945 * 1000000</f>
        <v>10945000000</v>
      </c>
      <c r="K16" s="30" t="s">
        <v>1653</v>
      </c>
      <c r="L16" s="30" t="s">
        <v>1894</v>
      </c>
      <c r="M16" s="30" t="s">
        <v>1895</v>
      </c>
      <c r="N16" s="30" t="s">
        <v>1896</v>
      </c>
      <c r="O16" s="30" t="s">
        <v>1897</v>
      </c>
      <c r="P16" s="30" t="s">
        <v>1898</v>
      </c>
      <c r="Q16" s="30" t="s">
        <v>1899</v>
      </c>
      <c r="R16" s="32" t="s">
        <v>1892</v>
      </c>
      <c r="S16" s="32" t="s">
        <v>1893</v>
      </c>
      <c r="T16" s="30"/>
      <c r="U16" s="30" t="s">
        <v>1311</v>
      </c>
      <c r="V16" s="30"/>
      <c r="W16" s="31">
        <f>IF( J16="s.i", "s.i", IF(ISBLANK(J16),"Actualizando información",IFERROR(J16 / VLOOKUP(A16,Deflactor!$G$3:$H$64,2,0),"Revisar error" )))</f>
        <v>8398850601.8971882</v>
      </c>
      <c r="X16" s="33" t="s">
        <v>1900</v>
      </c>
      <c r="Y16" s="33" t="s">
        <v>1901</v>
      </c>
      <c r="Z16" s="33" t="s">
        <v>1902</v>
      </c>
      <c r="AA16" s="33" t="s">
        <v>1903</v>
      </c>
      <c r="AB16" s="33" t="s">
        <v>1904</v>
      </c>
      <c r="AC16" s="33" t="s">
        <v>1905</v>
      </c>
      <c r="AD16" s="33" t="s">
        <v>1906</v>
      </c>
      <c r="AE16" s="33" t="s">
        <v>1907</v>
      </c>
      <c r="AR16" s="34">
        <f xml:space="preserve"> 10064158 * 1000</f>
        <v>10064158000</v>
      </c>
      <c r="AS16" s="42"/>
      <c r="AT16" s="46">
        <f t="shared" si="0"/>
        <v>10064158000</v>
      </c>
      <c r="AU16" s="54">
        <f xml:space="preserve"> IFERROR(ROUND(AT16 / VLOOKUP(A16,Tabla1[#All],2,0),0),"s.i")</f>
        <v>12703712</v>
      </c>
      <c r="AV16" s="33">
        <f xml:space="preserve"> IF(AU16="s.i", "s.i", IF(AND(AU16&gt;=Deflactor!$BQ$298,AU16&lt;Deflactor!$BQ$299), Deflactor!$BP$298, IF(AND(AU16&gt;=Deflactor!$BQ$299,AU16&lt;Deflactor!$BQ$300), Deflactor!$BP$299, IF(AND(AU16&gt;=Deflactor!$BQ$300,AU16&lt;Deflactor!$BQ$301), Deflactor!$BP$300, IF(AND(AU16&gt;=Deflactor!$BQ$301,AU16&lt;Deflactor!$BQ$302), Deflactor!$BP$301, IF(AND(AU16&gt;=Deflactor!$BQ$302,AU16&lt;Deflactor!$BQ$303), Deflactor!$BP$302, IF(AND(AU16&gt;=Deflactor!$BQ$303,AU16&lt;Deflactor!$BQ$304), Deflactor!$BP$303, IF(AND(AU16&gt;=Deflactor!$BQ$304,AU16&lt;Deflactor!$BQ$305), Deflactor!$BP$304, IF(AND(AU16&gt;=Deflactor!$BQ$305,AU16&lt;Deflactor!$BQ$306), Deflactor!$BP$305, IF(AND(AU16&gt;=Deflactor!$BQ$306,AU16&lt;Deflactor!$BQ$307), Deflactor!$BP$306, Deflactor!$BP$307) ) ) ) ) ) ) ) ) )</f>
        <v>5</v>
      </c>
    </row>
    <row r="17" spans="1:48" s="33" customFormat="1" x14ac:dyDescent="0.25">
      <c r="A17" s="30">
        <v>2020</v>
      </c>
      <c r="B17" s="30" t="s">
        <v>1312</v>
      </c>
      <c r="C17" s="30" t="s">
        <v>7</v>
      </c>
      <c r="D17" s="30" t="s">
        <v>32</v>
      </c>
      <c r="E17" s="30" t="s">
        <v>33</v>
      </c>
      <c r="F17" s="30" t="s">
        <v>14</v>
      </c>
      <c r="G17" s="30" t="s">
        <v>723</v>
      </c>
      <c r="H17" s="30">
        <v>2011</v>
      </c>
      <c r="I17" s="30"/>
      <c r="J17" s="31">
        <f xml:space="preserve"> 643551 * 1000000</f>
        <v>643551000000</v>
      </c>
      <c r="K17" s="30" t="s">
        <v>1653</v>
      </c>
      <c r="L17" s="30" t="s">
        <v>1910</v>
      </c>
      <c r="M17" s="30" t="s">
        <v>1911</v>
      </c>
      <c r="N17" s="30" t="s">
        <v>1912</v>
      </c>
      <c r="O17" s="30" t="s">
        <v>1913</v>
      </c>
      <c r="P17" s="30" t="s">
        <v>1914</v>
      </c>
      <c r="Q17" s="30" t="s">
        <v>1915</v>
      </c>
      <c r="R17" s="32" t="s">
        <v>1908</v>
      </c>
      <c r="S17" s="32" t="s">
        <v>1909</v>
      </c>
      <c r="T17" s="30"/>
      <c r="U17" s="30"/>
      <c r="V17" s="30"/>
      <c r="W17" s="31">
        <f>IF( J17="s.i", "s.i", IF(ISBLANK(J17),"Actualizando información",IFERROR(J17 / VLOOKUP(A17,Deflactor!$G$3:$H$64,2,0),"Revisar error" )))</f>
        <v>493840904860.80743</v>
      </c>
      <c r="X17" s="33" t="s">
        <v>1919</v>
      </c>
      <c r="Y17" s="33" t="s">
        <v>1920</v>
      </c>
      <c r="Z17" s="33" t="s">
        <v>1935</v>
      </c>
      <c r="AA17" s="33" t="s">
        <v>1921</v>
      </c>
      <c r="AB17" s="33" t="s">
        <v>1922</v>
      </c>
      <c r="AC17" s="33" t="s">
        <v>1923</v>
      </c>
      <c r="AD17" s="33" t="s">
        <v>1924</v>
      </c>
      <c r="AE17" s="33" t="s">
        <v>1925</v>
      </c>
      <c r="AF17" s="33" t="s">
        <v>1926</v>
      </c>
      <c r="AG17" s="33" t="s">
        <v>1927</v>
      </c>
      <c r="AH17" s="33" t="s">
        <v>1928</v>
      </c>
      <c r="AI17" s="33" t="s">
        <v>1929</v>
      </c>
      <c r="AJ17" s="33" t="s">
        <v>1930</v>
      </c>
      <c r="AK17" s="33" t="s">
        <v>1931</v>
      </c>
      <c r="AL17" s="33" t="s">
        <v>1932</v>
      </c>
      <c r="AM17" s="33" t="s">
        <v>1933</v>
      </c>
      <c r="AN17" s="33" t="s">
        <v>1934</v>
      </c>
      <c r="AR17" s="10">
        <f xml:space="preserve"> (32778366 + 20781776 + 10617522 + 39769345 + 48889408 + 17148467 + 34765307 + 83852747 + 67677346 + 50891349 + 8154246 + 12532970 + 171153543 + 24647470 + 17678470 + 2212809) * 1000</f>
        <v>643551141000</v>
      </c>
      <c r="AS17" s="42"/>
      <c r="AT17" s="46">
        <f t="shared" si="0"/>
        <v>643551141000</v>
      </c>
      <c r="AU17" s="54">
        <f xml:space="preserve"> IFERROR(ROUND(AT17 / VLOOKUP(A17,Tabla1[#All],2,0),0),"s.i")</f>
        <v>812337043</v>
      </c>
      <c r="AV17" s="33">
        <f xml:space="preserve"> IF(AU17="s.i", "s.i", IF(AND(AU17&gt;=Deflactor!$BQ$298,AU17&lt;Deflactor!$BQ$299), Deflactor!$BP$298, IF(AND(AU17&gt;=Deflactor!$BQ$299,AU17&lt;Deflactor!$BQ$300), Deflactor!$BP$299, IF(AND(AU17&gt;=Deflactor!$BQ$300,AU17&lt;Deflactor!$BQ$301), Deflactor!$BP$300, IF(AND(AU17&gt;=Deflactor!$BQ$301,AU17&lt;Deflactor!$BQ$302), Deflactor!$BP$301, IF(AND(AU17&gt;=Deflactor!$BQ$302,AU17&lt;Deflactor!$BQ$303), Deflactor!$BP$302, IF(AND(AU17&gt;=Deflactor!$BQ$303,AU17&lt;Deflactor!$BQ$304), Deflactor!$BP$303, IF(AND(AU17&gt;=Deflactor!$BQ$304,AU17&lt;Deflactor!$BQ$305), Deflactor!$BP$304, IF(AND(AU17&gt;=Deflactor!$BQ$305,AU17&lt;Deflactor!$BQ$306), Deflactor!$BP$305, IF(AND(AU17&gt;=Deflactor!$BQ$306,AU17&lt;Deflactor!$BQ$307), Deflactor!$BP$306, Deflactor!$BP$307) ) ) ) ) ) ) ) ) )</f>
        <v>10</v>
      </c>
    </row>
    <row r="18" spans="1:48" s="33" customFormat="1" x14ac:dyDescent="0.25">
      <c r="A18" s="30">
        <v>2020</v>
      </c>
      <c r="B18" s="30" t="s">
        <v>1313</v>
      </c>
      <c r="C18" s="30" t="s">
        <v>7</v>
      </c>
      <c r="D18" s="30" t="s">
        <v>12</v>
      </c>
      <c r="E18" s="30" t="s">
        <v>1314</v>
      </c>
      <c r="F18" s="30" t="s">
        <v>27</v>
      </c>
      <c r="G18" s="30" t="s">
        <v>723</v>
      </c>
      <c r="H18" s="30">
        <v>2008</v>
      </c>
      <c r="I18" s="30"/>
      <c r="J18" s="31">
        <f xml:space="preserve"> 56538 * 1000000</f>
        <v>56538000000</v>
      </c>
      <c r="K18" s="30" t="s">
        <v>2280</v>
      </c>
      <c r="L18" s="30" t="s">
        <v>2279</v>
      </c>
      <c r="M18" s="30" t="s">
        <v>1938</v>
      </c>
      <c r="N18" s="30" t="s">
        <v>1939</v>
      </c>
      <c r="O18" s="30" t="s">
        <v>1940</v>
      </c>
      <c r="P18" s="30" t="s">
        <v>1941</v>
      </c>
      <c r="Q18" s="30"/>
      <c r="R18" s="32" t="s">
        <v>1936</v>
      </c>
      <c r="S18" s="32" t="s">
        <v>1937</v>
      </c>
      <c r="T18" s="30"/>
      <c r="U18" s="30" t="s">
        <v>1328</v>
      </c>
      <c r="V18" s="30"/>
      <c r="W18" s="31">
        <f>IF( J18="s.i", "s.i", IF(ISBLANK(J18),"Actualizando información",IFERROR(J18 / VLOOKUP(A18,Deflactor!$G$3:$H$64,2,0),"Revisar error" )))</f>
        <v>43385492492.468094</v>
      </c>
      <c r="X18" s="33" t="s">
        <v>1942</v>
      </c>
      <c r="Y18" s="33" t="s">
        <v>1943</v>
      </c>
      <c r="Z18" s="33" t="s">
        <v>1944</v>
      </c>
      <c r="AA18" s="33" t="s">
        <v>1945</v>
      </c>
      <c r="AB18" s="33" t="s">
        <v>1946</v>
      </c>
      <c r="AC18" s="33" t="s">
        <v>1947</v>
      </c>
      <c r="AD18" s="33" t="s">
        <v>1948</v>
      </c>
      <c r="AE18" s="33" t="s">
        <v>1949</v>
      </c>
      <c r="AF18" s="33" t="s">
        <v>1950</v>
      </c>
      <c r="AG18" s="33" t="s">
        <v>1951</v>
      </c>
      <c r="AH18" s="33" t="s">
        <v>1952</v>
      </c>
      <c r="AI18" s="33" t="s">
        <v>1953</v>
      </c>
      <c r="AJ18" s="33" t="s">
        <v>1954</v>
      </c>
      <c r="AK18" s="33" t="s">
        <v>1955</v>
      </c>
      <c r="AL18" s="33" t="s">
        <v>1956</v>
      </c>
      <c r="AM18" s="33" t="s">
        <v>1957</v>
      </c>
      <c r="AR18" s="10">
        <f xml:space="preserve"> 41783171 * 1000</f>
        <v>41783171000</v>
      </c>
      <c r="AS18" s="42"/>
      <c r="AT18" s="46">
        <f t="shared" si="0"/>
        <v>41783171000</v>
      </c>
      <c r="AU18" s="54">
        <f xml:space="preserve"> IFERROR(ROUND(AT18 / VLOOKUP(A18,Tabla1[#All],2,0),0),"s.i")</f>
        <v>52741757</v>
      </c>
      <c r="AV18" s="33">
        <f xml:space="preserve"> IF(AU18="s.i", "s.i", IF(AND(AU18&gt;=Deflactor!$BQ$298,AU18&lt;Deflactor!$BQ$299), Deflactor!$BP$298, IF(AND(AU18&gt;=Deflactor!$BQ$299,AU18&lt;Deflactor!$BQ$300), Deflactor!$BP$299, IF(AND(AU18&gt;=Deflactor!$BQ$300,AU18&lt;Deflactor!$BQ$301), Deflactor!$BP$300, IF(AND(AU18&gt;=Deflactor!$BQ$301,AU18&lt;Deflactor!$BQ$302), Deflactor!$BP$301, IF(AND(AU18&gt;=Deflactor!$BQ$302,AU18&lt;Deflactor!$BQ$303), Deflactor!$BP$302, IF(AND(AU18&gt;=Deflactor!$BQ$303,AU18&lt;Deflactor!$BQ$304), Deflactor!$BP$303, IF(AND(AU18&gt;=Deflactor!$BQ$304,AU18&lt;Deflactor!$BQ$305), Deflactor!$BP$304, IF(AND(AU18&gt;=Deflactor!$BQ$305,AU18&lt;Deflactor!$BQ$306), Deflactor!$BP$305, IF(AND(AU18&gt;=Deflactor!$BQ$306,AU18&lt;Deflactor!$BQ$307), Deflactor!$BP$306, Deflactor!$BP$307) ) ) ) ) ) ) ) ) )</f>
        <v>9</v>
      </c>
    </row>
    <row r="19" spans="1:48" s="33" customFormat="1" x14ac:dyDescent="0.25">
      <c r="A19" s="30">
        <v>2019</v>
      </c>
      <c r="B19" s="30" t="s">
        <v>6</v>
      </c>
      <c r="C19" s="30" t="s">
        <v>7</v>
      </c>
      <c r="D19" s="30" t="s">
        <v>8</v>
      </c>
      <c r="E19" s="30" t="s">
        <v>9</v>
      </c>
      <c r="F19" s="30" t="s">
        <v>10</v>
      </c>
      <c r="G19" s="30" t="s">
        <v>723</v>
      </c>
      <c r="H19" s="36">
        <v>1985</v>
      </c>
      <c r="I19" s="37"/>
      <c r="J19" s="31">
        <v>68399379</v>
      </c>
      <c r="K19" s="30" t="s">
        <v>1043</v>
      </c>
      <c r="L19" s="30" t="s">
        <v>729</v>
      </c>
      <c r="M19" s="30" t="s">
        <v>730</v>
      </c>
      <c r="N19" s="30" t="s">
        <v>731</v>
      </c>
      <c r="O19" s="30" t="s">
        <v>732</v>
      </c>
      <c r="P19" s="30" t="s">
        <v>733</v>
      </c>
      <c r="Q19" s="30"/>
      <c r="R19" s="32" t="s">
        <v>739</v>
      </c>
      <c r="S19" s="32" t="s">
        <v>740</v>
      </c>
      <c r="T19" s="30"/>
      <c r="U19" s="30"/>
      <c r="V19" s="30"/>
      <c r="W19" s="31">
        <f>IF( J19="s.i", "s.i", IF(ISBLANK(J19),"Actualizando información",IFERROR(J19 / VLOOKUP(A19,Deflactor!$G$3:$H$64,2,0),"Revisar error" )))</f>
        <v>53491537.120826639</v>
      </c>
      <c r="X19" s="33" t="s">
        <v>1999</v>
      </c>
      <c r="Y19" s="33" t="s">
        <v>2000</v>
      </c>
      <c r="Z19" s="33" t="s">
        <v>2001</v>
      </c>
      <c r="AA19" s="33" t="s">
        <v>2002</v>
      </c>
      <c r="AB19" s="33" t="s">
        <v>2003</v>
      </c>
      <c r="AC19" s="33" t="s">
        <v>2004</v>
      </c>
      <c r="AD19" s="33" t="s">
        <v>2005</v>
      </c>
      <c r="AE19" s="33" t="s">
        <v>2006</v>
      </c>
      <c r="AF19" s="33" t="s">
        <v>2007</v>
      </c>
      <c r="AG19" s="33" t="s">
        <v>2008</v>
      </c>
      <c r="AH19" s="33" t="s">
        <v>2009</v>
      </c>
      <c r="AI19" s="33" t="s">
        <v>2010</v>
      </c>
      <c r="AJ19" s="33" t="s">
        <v>2011</v>
      </c>
      <c r="AK19" s="33" t="s">
        <v>2012</v>
      </c>
      <c r="AL19" s="33" t="s">
        <v>2013</v>
      </c>
      <c r="AM19" s="33" t="s">
        <v>2014</v>
      </c>
      <c r="AN19" s="33" t="s">
        <v>2015</v>
      </c>
      <c r="AR19" s="34">
        <f t="shared" ref="AR19:AR21" si="1" xml:space="preserve"> 1163741 * 1000</f>
        <v>1163741000</v>
      </c>
      <c r="AS19" s="42"/>
      <c r="AT19" s="46">
        <f t="shared" si="0"/>
        <v>1163741000</v>
      </c>
      <c r="AU19" s="54">
        <f xml:space="preserve"> IFERROR(ROUND(AT19 / VLOOKUP(A19,Tabla1[#All],2,0),0),"s.i")</f>
        <v>1656262</v>
      </c>
      <c r="AV19" s="33">
        <f xml:space="preserve"> IF(AU19="s.i", "s.i", IF(AND(AU19&gt;=Deflactor!$BQ$298,AU19&lt;Deflactor!$BQ$299), Deflactor!$BP$298, IF(AND(AU19&gt;=Deflactor!$BQ$299,AU19&lt;Deflactor!$BQ$300), Deflactor!$BP$299, IF(AND(AU19&gt;=Deflactor!$BQ$300,AU19&lt;Deflactor!$BQ$301), Deflactor!$BP$300, IF(AND(AU19&gt;=Deflactor!$BQ$301,AU19&lt;Deflactor!$BQ$302), Deflactor!$BP$301, IF(AND(AU19&gt;=Deflactor!$BQ$302,AU19&lt;Deflactor!$BQ$303), Deflactor!$BP$302, IF(AND(AU19&gt;=Deflactor!$BQ$303,AU19&lt;Deflactor!$BQ$304), Deflactor!$BP$303, IF(AND(AU19&gt;=Deflactor!$BQ$304,AU19&lt;Deflactor!$BQ$305), Deflactor!$BP$304, IF(AND(AU19&gt;=Deflactor!$BQ$305,AU19&lt;Deflactor!$BQ$306), Deflactor!$BP$305, IF(AND(AU19&gt;=Deflactor!$BQ$306,AU19&lt;Deflactor!$BQ$307), Deflactor!$BP$306, Deflactor!$BP$307) ) ) ) ) ) ) ) ) )</f>
        <v>1</v>
      </c>
    </row>
    <row r="20" spans="1:48" s="33" customFormat="1" x14ac:dyDescent="0.25">
      <c r="A20" s="30">
        <v>2019</v>
      </c>
      <c r="B20" s="30" t="s">
        <v>11</v>
      </c>
      <c r="C20" s="30" t="s">
        <v>7</v>
      </c>
      <c r="D20" s="30" t="s">
        <v>12</v>
      </c>
      <c r="E20" s="30" t="s">
        <v>13</v>
      </c>
      <c r="F20" s="30" t="s">
        <v>14</v>
      </c>
      <c r="G20" s="30" t="s">
        <v>723</v>
      </c>
      <c r="H20" s="36">
        <v>2014</v>
      </c>
      <c r="I20" s="37"/>
      <c r="J20" s="31">
        <f xml:space="preserve"> 9964630 * 1000000</f>
        <v>9964630000000</v>
      </c>
      <c r="K20" s="30"/>
      <c r="L20" s="30" t="s">
        <v>846</v>
      </c>
      <c r="M20" s="30" t="s">
        <v>847</v>
      </c>
      <c r="N20" s="30" t="s">
        <v>848</v>
      </c>
      <c r="O20" s="30" t="s">
        <v>849</v>
      </c>
      <c r="P20" s="30" t="s">
        <v>850</v>
      </c>
      <c r="Q20" s="30"/>
      <c r="R20" s="32" t="s">
        <v>851</v>
      </c>
      <c r="S20" s="32" t="s">
        <v>852</v>
      </c>
      <c r="T20" s="30"/>
      <c r="U20" s="30"/>
      <c r="V20" s="30"/>
      <c r="W20" s="31">
        <f>IF( J20="s.i", "s.i", IF(ISBLANK(J20),"Actualizando información",IFERROR(J20 / VLOOKUP(A20,Deflactor!$G$3:$H$64,2,0),"Revisar error" )))</f>
        <v>7792810158997.2441</v>
      </c>
      <c r="X20" s="33" t="s">
        <v>2016</v>
      </c>
      <c r="Y20" s="33" t="s">
        <v>2017</v>
      </c>
      <c r="Z20" s="33" t="s">
        <v>2018</v>
      </c>
      <c r="AA20" s="33" t="s">
        <v>2019</v>
      </c>
      <c r="AB20" s="33" t="s">
        <v>2020</v>
      </c>
      <c r="AC20" s="30" t="s">
        <v>2021</v>
      </c>
      <c r="AD20" s="33" t="s">
        <v>2022</v>
      </c>
      <c r="AE20" s="33" t="s">
        <v>2023</v>
      </c>
      <c r="AF20" s="33" t="s">
        <v>2024</v>
      </c>
      <c r="AG20" s="33" t="s">
        <v>2025</v>
      </c>
      <c r="AH20" s="33" t="s">
        <v>2026</v>
      </c>
      <c r="AI20" s="33" t="s">
        <v>2027</v>
      </c>
      <c r="AJ20" s="33" t="s">
        <v>2031</v>
      </c>
      <c r="AK20" s="33" t="s">
        <v>2030</v>
      </c>
      <c r="AL20" s="33" t="s">
        <v>2029</v>
      </c>
      <c r="AM20" s="33" t="s">
        <v>2028</v>
      </c>
      <c r="AN20" s="33" t="s">
        <v>2035</v>
      </c>
      <c r="AO20" s="33" t="s">
        <v>2036</v>
      </c>
      <c r="AP20" s="33" t="s">
        <v>2037</v>
      </c>
      <c r="AQ20" s="33" t="s">
        <v>2038</v>
      </c>
      <c r="AR20" s="34">
        <f xml:space="preserve"> 6964632 * 1000</f>
        <v>6964632000</v>
      </c>
      <c r="AS20" s="42"/>
      <c r="AT20" s="46">
        <f t="shared" si="0"/>
        <v>6964632000</v>
      </c>
      <c r="AU20" s="54">
        <f xml:space="preserve"> IFERROR(ROUND(AT20 / VLOOKUP(A20,Tabla1[#All],2,0),0),"s.i")</f>
        <v>9912218</v>
      </c>
      <c r="AV20" s="33">
        <f xml:space="preserve"> IF(AU20="s.i", "s.i", IF(AND(AU20&gt;=Deflactor!$BQ$298,AU20&lt;Deflactor!$BQ$299), Deflactor!$BP$298, IF(AND(AU20&gt;=Deflactor!$BQ$299,AU20&lt;Deflactor!$BQ$300), Deflactor!$BP$299, IF(AND(AU20&gt;=Deflactor!$BQ$300,AU20&lt;Deflactor!$BQ$301), Deflactor!$BP$300, IF(AND(AU20&gt;=Deflactor!$BQ$301,AU20&lt;Deflactor!$BQ$302), Deflactor!$BP$301, IF(AND(AU20&gt;=Deflactor!$BQ$302,AU20&lt;Deflactor!$BQ$303), Deflactor!$BP$302, IF(AND(AU20&gt;=Deflactor!$BQ$303,AU20&lt;Deflactor!$BQ$304), Deflactor!$BP$303, IF(AND(AU20&gt;=Deflactor!$BQ$304,AU20&lt;Deflactor!$BQ$305), Deflactor!$BP$304, IF(AND(AU20&gt;=Deflactor!$BQ$305,AU20&lt;Deflactor!$BQ$306), Deflactor!$BP$305, IF(AND(AU20&gt;=Deflactor!$BQ$306,AU20&lt;Deflactor!$BQ$307), Deflactor!$BP$306, Deflactor!$BP$307) ) ) ) ) ) ) ) ) )</f>
        <v>4</v>
      </c>
    </row>
    <row r="21" spans="1:48" s="33" customFormat="1" x14ac:dyDescent="0.25">
      <c r="A21" s="30">
        <v>2019</v>
      </c>
      <c r="B21" s="30" t="s">
        <v>15</v>
      </c>
      <c r="C21" s="30" t="s">
        <v>7</v>
      </c>
      <c r="D21" s="30" t="s">
        <v>8</v>
      </c>
      <c r="E21" s="30" t="s">
        <v>9</v>
      </c>
      <c r="F21" s="30" t="s">
        <v>10</v>
      </c>
      <c r="G21" s="30" t="s">
        <v>723</v>
      </c>
      <c r="H21" s="36">
        <v>1985</v>
      </c>
      <c r="I21" s="37"/>
      <c r="J21" s="31">
        <f xml:space="preserve"> 68399379 * 1000</f>
        <v>68399379000</v>
      </c>
      <c r="K21" s="30" t="s">
        <v>1043</v>
      </c>
      <c r="L21" s="30" t="s">
        <v>729</v>
      </c>
      <c r="M21" s="30" t="s">
        <v>730</v>
      </c>
      <c r="N21" s="30" t="s">
        <v>731</v>
      </c>
      <c r="O21" s="30" t="s">
        <v>732</v>
      </c>
      <c r="P21" s="30" t="s">
        <v>733</v>
      </c>
      <c r="Q21" s="30"/>
      <c r="R21" s="32" t="s">
        <v>2039</v>
      </c>
      <c r="S21" s="32" t="s">
        <v>2040</v>
      </c>
      <c r="T21" s="30"/>
      <c r="U21" s="30"/>
      <c r="V21" s="30"/>
      <c r="W21" s="31">
        <f>IF( J21="s.i", "s.i", IF(ISBLANK(J21),"Actualizando información",IFERROR(J21 / VLOOKUP(A21,Deflactor!$G$3:$H$64,2,0),"Revisar error" )))</f>
        <v>53491537120.826637</v>
      </c>
      <c r="X21" s="33" t="s">
        <v>1999</v>
      </c>
      <c r="Y21" s="33" t="s">
        <v>2000</v>
      </c>
      <c r="Z21" s="33" t="s">
        <v>2001</v>
      </c>
      <c r="AR21" s="34">
        <f t="shared" si="1"/>
        <v>1163741000</v>
      </c>
      <c r="AS21" s="42"/>
      <c r="AT21" s="46">
        <f t="shared" si="0"/>
        <v>1163741000</v>
      </c>
      <c r="AU21" s="54">
        <f xml:space="preserve"> IFERROR(ROUND(AT21 / VLOOKUP(A21,Tabla1[#All],2,0),0),"s.i")</f>
        <v>1656262</v>
      </c>
      <c r="AV21" s="33">
        <f xml:space="preserve"> IF(AU21="s.i", "s.i", IF(AND(AU21&gt;=Deflactor!$BQ$298,AU21&lt;Deflactor!$BQ$299), Deflactor!$BP$298, IF(AND(AU21&gt;=Deflactor!$BQ$299,AU21&lt;Deflactor!$BQ$300), Deflactor!$BP$299, IF(AND(AU21&gt;=Deflactor!$BQ$300,AU21&lt;Deflactor!$BQ$301), Deflactor!$BP$300, IF(AND(AU21&gt;=Deflactor!$BQ$301,AU21&lt;Deflactor!$BQ$302), Deflactor!$BP$301, IF(AND(AU21&gt;=Deflactor!$BQ$302,AU21&lt;Deflactor!$BQ$303), Deflactor!$BP$302, IF(AND(AU21&gt;=Deflactor!$BQ$303,AU21&lt;Deflactor!$BQ$304), Deflactor!$BP$303, IF(AND(AU21&gt;=Deflactor!$BQ$304,AU21&lt;Deflactor!$BQ$305), Deflactor!$BP$304, IF(AND(AU21&gt;=Deflactor!$BQ$305,AU21&lt;Deflactor!$BQ$306), Deflactor!$BP$305, IF(AND(AU21&gt;=Deflactor!$BQ$306,AU21&lt;Deflactor!$BQ$307), Deflactor!$BP$306, Deflactor!$BP$307) ) ) ) ) ) ) ) ) )</f>
        <v>1</v>
      </c>
    </row>
    <row r="22" spans="1:48" x14ac:dyDescent="0.25">
      <c r="A22" s="3">
        <v>2019</v>
      </c>
      <c r="B22" s="3" t="s">
        <v>16</v>
      </c>
      <c r="C22" s="3" t="s">
        <v>7</v>
      </c>
      <c r="D22" s="3" t="s">
        <v>17</v>
      </c>
      <c r="E22" s="3" t="s">
        <v>18</v>
      </c>
      <c r="F22" s="3" t="s">
        <v>10</v>
      </c>
      <c r="G22" s="3" t="s">
        <v>723</v>
      </c>
      <c r="H22" s="12">
        <v>2005</v>
      </c>
      <c r="I22" s="13"/>
      <c r="J22" s="10">
        <f xml:space="preserve"> 8900 * 1000000</f>
        <v>8900000000</v>
      </c>
      <c r="K22" s="3" t="s">
        <v>1650</v>
      </c>
      <c r="L22" s="3" t="s">
        <v>853</v>
      </c>
      <c r="M22" s="3" t="s">
        <v>854</v>
      </c>
      <c r="N22" s="3" t="s">
        <v>855</v>
      </c>
      <c r="O22" s="3" t="s">
        <v>856</v>
      </c>
      <c r="P22" s="3" t="s">
        <v>857</v>
      </c>
      <c r="Q22" s="3"/>
      <c r="R22" s="11" t="s">
        <v>858</v>
      </c>
      <c r="S22" s="11" t="s">
        <v>859</v>
      </c>
      <c r="T22" s="11" t="s">
        <v>860</v>
      </c>
      <c r="U22" s="3" t="s">
        <v>1141</v>
      </c>
      <c r="V22" s="3"/>
      <c r="W22" s="10">
        <f>IF( J22="s.i", "s.i", IF(ISBLANK(J22),"Actualizando información",IFERROR(J22 / VLOOKUP(A22,Deflactor!$G$3:$H$64,2,0),"Revisar error" )))</f>
        <v>6960219337.3035898</v>
      </c>
      <c r="AR22" s="10">
        <f xml:space="preserve"> 8900342 * 1000</f>
        <v>8900342000</v>
      </c>
      <c r="AT22" s="46">
        <f t="shared" si="0"/>
        <v>8900342000</v>
      </c>
      <c r="AU22" s="54">
        <f xml:space="preserve"> IFERROR(ROUND(AT22 / VLOOKUP(A22,Tabla1[#All],2,0),0),"s.i")</f>
        <v>12667163</v>
      </c>
      <c r="AV22" s="33">
        <f xml:space="preserve"> IF(AU22="s.i", "s.i", IF(AND(AU22&gt;=Deflactor!$BQ$298,AU22&lt;Deflactor!$BQ$299), Deflactor!$BP$298, IF(AND(AU22&gt;=Deflactor!$BQ$299,AU22&lt;Deflactor!$BQ$300), Deflactor!$BP$299, IF(AND(AU22&gt;=Deflactor!$BQ$300,AU22&lt;Deflactor!$BQ$301), Deflactor!$BP$300, IF(AND(AU22&gt;=Deflactor!$BQ$301,AU22&lt;Deflactor!$BQ$302), Deflactor!$BP$301, IF(AND(AU22&gt;=Deflactor!$BQ$302,AU22&lt;Deflactor!$BQ$303), Deflactor!$BP$302, IF(AND(AU22&gt;=Deflactor!$BQ$303,AU22&lt;Deflactor!$BQ$304), Deflactor!$BP$303, IF(AND(AU22&gt;=Deflactor!$BQ$304,AU22&lt;Deflactor!$BQ$305), Deflactor!$BP$304, IF(AND(AU22&gt;=Deflactor!$BQ$305,AU22&lt;Deflactor!$BQ$306), Deflactor!$BP$305, IF(AND(AU22&gt;=Deflactor!$BQ$306,AU22&lt;Deflactor!$BQ$307), Deflactor!$BP$306, Deflactor!$BP$307) ) ) ) ) ) ) ) ) )</f>
        <v>5</v>
      </c>
    </row>
    <row r="23" spans="1:48" x14ac:dyDescent="0.25">
      <c r="A23" s="3">
        <v>2019</v>
      </c>
      <c r="B23" s="3" t="s">
        <v>19</v>
      </c>
      <c r="C23" s="3" t="s">
        <v>7</v>
      </c>
      <c r="D23" s="3" t="s">
        <v>20</v>
      </c>
      <c r="E23" s="3" t="s">
        <v>21</v>
      </c>
      <c r="F23" s="3" t="s">
        <v>14</v>
      </c>
      <c r="G23" s="3" t="s">
        <v>723</v>
      </c>
      <c r="H23" s="12">
        <v>1994</v>
      </c>
      <c r="I23" s="13"/>
      <c r="J23" s="10">
        <f xml:space="preserve"> 11054977 * 1000</f>
        <v>11054977000</v>
      </c>
      <c r="K23" s="3" t="s">
        <v>861</v>
      </c>
      <c r="L23" s="3" t="s">
        <v>861</v>
      </c>
      <c r="M23" s="3" t="s">
        <v>862</v>
      </c>
      <c r="N23" s="3" t="s">
        <v>863</v>
      </c>
      <c r="O23" s="3" t="s">
        <v>864</v>
      </c>
      <c r="P23" s="3" t="s">
        <v>865</v>
      </c>
      <c r="Q23" s="3"/>
      <c r="R23" s="11" t="s">
        <v>866</v>
      </c>
      <c r="S23" s="11" t="s">
        <v>867</v>
      </c>
      <c r="T23" s="3"/>
      <c r="U23" s="3" t="s">
        <v>1142</v>
      </c>
      <c r="V23" s="3"/>
      <c r="W23" s="10">
        <f>IF( J23="s.i", "s.i", IF(ISBLANK(J23),"Actualizando información",IFERROR(J23 / VLOOKUP(A23,Deflactor!$G$3:$H$64,2,0),"Revisar error" )))</f>
        <v>8645512886.3872395</v>
      </c>
      <c r="AR23" s="10">
        <f xml:space="preserve"> 9352577 * 1000</f>
        <v>9352577000</v>
      </c>
      <c r="AT23" s="46">
        <f t="shared" si="0"/>
        <v>9352577000</v>
      </c>
      <c r="AU23" s="54">
        <f xml:space="preserve"> IFERROR(ROUND(AT23 / VLOOKUP(A23,Tabla1[#All],2,0),0),"s.i")</f>
        <v>13310794</v>
      </c>
      <c r="AV23" s="33">
        <f xml:space="preserve"> IF(AU23="s.i", "s.i", IF(AND(AU23&gt;=Deflactor!$BQ$298,AU23&lt;Deflactor!$BQ$299), Deflactor!$BP$298, IF(AND(AU23&gt;=Deflactor!$BQ$299,AU23&lt;Deflactor!$BQ$300), Deflactor!$BP$299, IF(AND(AU23&gt;=Deflactor!$BQ$300,AU23&lt;Deflactor!$BQ$301), Deflactor!$BP$300, IF(AND(AU23&gt;=Deflactor!$BQ$301,AU23&lt;Deflactor!$BQ$302), Deflactor!$BP$301, IF(AND(AU23&gt;=Deflactor!$BQ$302,AU23&lt;Deflactor!$BQ$303), Deflactor!$BP$302, IF(AND(AU23&gt;=Deflactor!$BQ$303,AU23&lt;Deflactor!$BQ$304), Deflactor!$BP$303, IF(AND(AU23&gt;=Deflactor!$BQ$304,AU23&lt;Deflactor!$BQ$305), Deflactor!$BP$304, IF(AND(AU23&gt;=Deflactor!$BQ$305,AU23&lt;Deflactor!$BQ$306), Deflactor!$BP$305, IF(AND(AU23&gt;=Deflactor!$BQ$306,AU23&lt;Deflactor!$BQ$307), Deflactor!$BP$306, Deflactor!$BP$307) ) ) ) ) ) ) ) ) )</f>
        <v>5</v>
      </c>
    </row>
    <row r="24" spans="1:48" x14ac:dyDescent="0.25">
      <c r="A24" s="3">
        <v>2019</v>
      </c>
      <c r="B24" s="3" t="s">
        <v>22</v>
      </c>
      <c r="C24" s="3" t="s">
        <v>7</v>
      </c>
      <c r="D24" s="3" t="s">
        <v>20</v>
      </c>
      <c r="E24" s="3" t="s">
        <v>23</v>
      </c>
      <c r="F24" s="3" t="s">
        <v>14</v>
      </c>
      <c r="G24" s="3" t="s">
        <v>723</v>
      </c>
      <c r="H24" s="12">
        <v>2016</v>
      </c>
      <c r="I24" s="13"/>
      <c r="J24" s="10">
        <v>3348243</v>
      </c>
      <c r="K24" s="3" t="s">
        <v>1652</v>
      </c>
      <c r="L24" s="3" t="s">
        <v>868</v>
      </c>
      <c r="M24" s="3" t="s">
        <v>869</v>
      </c>
      <c r="N24" s="3" t="s">
        <v>870</v>
      </c>
      <c r="O24" s="3" t="s">
        <v>871</v>
      </c>
      <c r="P24" s="3" t="s">
        <v>872</v>
      </c>
      <c r="Q24" s="3" t="s">
        <v>873</v>
      </c>
      <c r="R24" s="11" t="s">
        <v>874</v>
      </c>
      <c r="S24" s="11" t="s">
        <v>875</v>
      </c>
      <c r="T24" s="3"/>
      <c r="U24" s="3" t="s">
        <v>1143</v>
      </c>
      <c r="V24" s="3"/>
      <c r="W24" s="10">
        <f>IF( J24="s.i", "s.i", IF(ISBLANK(J24),"Actualizando información",IFERROR(J24 / VLOOKUP(A24,Deflactor!$G$3:$H$64,2,0),"Revisar error" )))</f>
        <v>2618483.7836619532</v>
      </c>
      <c r="AR24" s="34">
        <f xml:space="preserve"> 3348243 * 1000</f>
        <v>3348243000</v>
      </c>
      <c r="AT24" s="46">
        <f t="shared" si="0"/>
        <v>3348243000</v>
      </c>
      <c r="AU24" s="54">
        <f xml:space="preserve"> IFERROR(ROUND(AT24 / VLOOKUP(A24,Tabla1[#All],2,0),0),"s.i")</f>
        <v>4765293</v>
      </c>
      <c r="AV24" s="33">
        <f xml:space="preserve"> IF(AU24="s.i", "s.i", IF(AND(AU24&gt;=Deflactor!$BQ$298,AU24&lt;Deflactor!$BQ$299), Deflactor!$BP$298, IF(AND(AU24&gt;=Deflactor!$BQ$299,AU24&lt;Deflactor!$BQ$300), Deflactor!$BP$299, IF(AND(AU24&gt;=Deflactor!$BQ$300,AU24&lt;Deflactor!$BQ$301), Deflactor!$BP$300, IF(AND(AU24&gt;=Deflactor!$BQ$301,AU24&lt;Deflactor!$BQ$302), Deflactor!$BP$301, IF(AND(AU24&gt;=Deflactor!$BQ$302,AU24&lt;Deflactor!$BQ$303), Deflactor!$BP$302, IF(AND(AU24&gt;=Deflactor!$BQ$303,AU24&lt;Deflactor!$BQ$304), Deflactor!$BP$303, IF(AND(AU24&gt;=Deflactor!$BQ$304,AU24&lt;Deflactor!$BQ$305), Deflactor!$BP$304, IF(AND(AU24&gt;=Deflactor!$BQ$305,AU24&lt;Deflactor!$BQ$306), Deflactor!$BP$305, IF(AND(AU24&gt;=Deflactor!$BQ$306,AU24&lt;Deflactor!$BQ$307), Deflactor!$BP$306, Deflactor!$BP$307) ) ) ) ) ) ) ) ) )</f>
        <v>2</v>
      </c>
    </row>
    <row r="25" spans="1:48" x14ac:dyDescent="0.25">
      <c r="A25" s="3">
        <v>2019</v>
      </c>
      <c r="B25" s="3" t="s">
        <v>24</v>
      </c>
      <c r="C25" s="3" t="s">
        <v>7</v>
      </c>
      <c r="D25" s="3" t="s">
        <v>25</v>
      </c>
      <c r="E25" s="3" t="s">
        <v>26</v>
      </c>
      <c r="F25" s="3" t="s">
        <v>27</v>
      </c>
      <c r="G25" s="3" t="s">
        <v>723</v>
      </c>
      <c r="H25" s="12">
        <v>2014</v>
      </c>
      <c r="I25" s="13"/>
      <c r="J25" s="10">
        <f xml:space="preserve"> 18149 * 1000000</f>
        <v>18149000000</v>
      </c>
      <c r="K25" s="3" t="s">
        <v>2189</v>
      </c>
      <c r="L25" s="3" t="s">
        <v>876</v>
      </c>
      <c r="M25" s="3" t="s">
        <v>877</v>
      </c>
      <c r="N25" s="3" t="s">
        <v>878</v>
      </c>
      <c r="O25" s="3" t="s">
        <v>879</v>
      </c>
      <c r="P25" s="3" t="s">
        <v>880</v>
      </c>
      <c r="Q25" s="3"/>
      <c r="R25" s="11" t="s">
        <v>881</v>
      </c>
      <c r="S25" s="11" t="s">
        <v>882</v>
      </c>
      <c r="T25" s="11" t="s">
        <v>883</v>
      </c>
      <c r="U25" s="3" t="s">
        <v>877</v>
      </c>
      <c r="V25" s="3"/>
      <c r="W25" s="10">
        <f>IF( J25="s.i", "s.i", IF(ISBLANK(J25),"Actualizando información",IFERROR(J25 / VLOOKUP(A25,Deflactor!$G$3:$H$64,2,0),"Revisar error" )))</f>
        <v>14193373118.283466</v>
      </c>
      <c r="AR25" s="34">
        <f xml:space="preserve"> 3435061 * 1000</f>
        <v>3435061000</v>
      </c>
      <c r="AT25" s="46">
        <f t="shared" si="0"/>
        <v>3435061000</v>
      </c>
      <c r="AU25" s="54">
        <f xml:space="preserve"> IFERROR(ROUND(AT25 / VLOOKUP(A25,Tabla1[#All],2,0),0),"s.i")</f>
        <v>4888855</v>
      </c>
      <c r="AV25" s="33">
        <f xml:space="preserve"> IF(AU25="s.i", "s.i", IF(AND(AU25&gt;=Deflactor!$BQ$298,AU25&lt;Deflactor!$BQ$299), Deflactor!$BP$298, IF(AND(AU25&gt;=Deflactor!$BQ$299,AU25&lt;Deflactor!$BQ$300), Deflactor!$BP$299, IF(AND(AU25&gt;=Deflactor!$BQ$300,AU25&lt;Deflactor!$BQ$301), Deflactor!$BP$300, IF(AND(AU25&gt;=Deflactor!$BQ$301,AU25&lt;Deflactor!$BQ$302), Deflactor!$BP$301, IF(AND(AU25&gt;=Deflactor!$BQ$302,AU25&lt;Deflactor!$BQ$303), Deflactor!$BP$302, IF(AND(AU25&gt;=Deflactor!$BQ$303,AU25&lt;Deflactor!$BQ$304), Deflactor!$BP$303, IF(AND(AU25&gt;=Deflactor!$BQ$304,AU25&lt;Deflactor!$BQ$305), Deflactor!$BP$304, IF(AND(AU25&gt;=Deflactor!$BQ$305,AU25&lt;Deflactor!$BQ$306), Deflactor!$BP$305, IF(AND(AU25&gt;=Deflactor!$BQ$306,AU25&lt;Deflactor!$BQ$307), Deflactor!$BP$306, Deflactor!$BP$307) ) ) ) ) ) ) ) ) )</f>
        <v>2</v>
      </c>
    </row>
    <row r="26" spans="1:48" x14ac:dyDescent="0.25">
      <c r="A26" s="3">
        <v>2019</v>
      </c>
      <c r="B26" s="3" t="s">
        <v>28</v>
      </c>
      <c r="C26" s="3" t="s">
        <v>7</v>
      </c>
      <c r="D26" s="3" t="s">
        <v>25</v>
      </c>
      <c r="E26" s="3" t="s">
        <v>29</v>
      </c>
      <c r="F26" s="3" t="s">
        <v>30</v>
      </c>
      <c r="G26" s="3" t="s">
        <v>723</v>
      </c>
      <c r="H26" s="12">
        <v>2015</v>
      </c>
      <c r="I26" s="13"/>
      <c r="J26" s="10">
        <f xml:space="preserve"> 18900 * 1000000</f>
        <v>18900000000</v>
      </c>
      <c r="K26" s="3" t="s">
        <v>1648</v>
      </c>
      <c r="L26" s="3" t="s">
        <v>884</v>
      </c>
      <c r="M26" s="3" t="s">
        <v>885</v>
      </c>
      <c r="N26" s="3" t="s">
        <v>886</v>
      </c>
      <c r="O26" s="3" t="s">
        <v>887</v>
      </c>
      <c r="P26" s="3" t="s">
        <v>888</v>
      </c>
      <c r="Q26" s="3"/>
      <c r="R26" s="11" t="s">
        <v>889</v>
      </c>
      <c r="S26" s="11" t="s">
        <v>890</v>
      </c>
      <c r="T26" s="3"/>
      <c r="U26" s="3" t="s">
        <v>1144</v>
      </c>
      <c r="V26" s="3"/>
      <c r="W26" s="10">
        <f>IF( J26="s.i", "s.i", IF(ISBLANK(J26),"Actualizando información",IFERROR(J26 / VLOOKUP(A26,Deflactor!$G$3:$H$64,2,0),"Revisar error" )))</f>
        <v>14780690502.813242</v>
      </c>
      <c r="AR26" s="10">
        <f xml:space="preserve"> 13822440 * 1000</f>
        <v>13822440000</v>
      </c>
      <c r="AT26" s="46">
        <f t="shared" si="0"/>
        <v>13822440000</v>
      </c>
      <c r="AU26" s="54">
        <f xml:space="preserve"> IFERROR(ROUND(AT26 / VLOOKUP(A26,Tabla1[#All],2,0),0),"s.i")</f>
        <v>19672401</v>
      </c>
      <c r="AV26" s="33">
        <f xml:space="preserve"> IF(AU26="s.i", "s.i", IF(AND(AU26&gt;=Deflactor!$BQ$298,AU26&lt;Deflactor!$BQ$299), Deflactor!$BP$298, IF(AND(AU26&gt;=Deflactor!$BQ$299,AU26&lt;Deflactor!$BQ$300), Deflactor!$BP$299, IF(AND(AU26&gt;=Deflactor!$BQ$300,AU26&lt;Deflactor!$BQ$301), Deflactor!$BP$300, IF(AND(AU26&gt;=Deflactor!$BQ$301,AU26&lt;Deflactor!$BQ$302), Deflactor!$BP$301, IF(AND(AU26&gt;=Deflactor!$BQ$302,AU26&lt;Deflactor!$BQ$303), Deflactor!$BP$302, IF(AND(AU26&gt;=Deflactor!$BQ$303,AU26&lt;Deflactor!$BQ$304), Deflactor!$BP$303, IF(AND(AU26&gt;=Deflactor!$BQ$304,AU26&lt;Deflactor!$BQ$305), Deflactor!$BP$304, IF(AND(AU26&gt;=Deflactor!$BQ$305,AU26&lt;Deflactor!$BQ$306), Deflactor!$BP$305, IF(AND(AU26&gt;=Deflactor!$BQ$306,AU26&lt;Deflactor!$BQ$307), Deflactor!$BP$306, Deflactor!$BP$307) ) ) ) ) ) ) ) ) )</f>
        <v>6</v>
      </c>
    </row>
    <row r="27" spans="1:48" x14ac:dyDescent="0.25">
      <c r="A27" s="3">
        <v>2019</v>
      </c>
      <c r="B27" s="3" t="s">
        <v>31</v>
      </c>
      <c r="C27" s="3" t="s">
        <v>7</v>
      </c>
      <c r="D27" s="3" t="s">
        <v>32</v>
      </c>
      <c r="E27" s="3" t="s">
        <v>33</v>
      </c>
      <c r="F27" s="3" t="s">
        <v>27</v>
      </c>
      <c r="G27" s="3" t="s">
        <v>723</v>
      </c>
      <c r="H27" s="12">
        <v>2011</v>
      </c>
      <c r="I27" s="13"/>
      <c r="J27" s="10">
        <v>50263613</v>
      </c>
      <c r="K27" s="3" t="s">
        <v>1653</v>
      </c>
      <c r="L27" s="3" t="s">
        <v>938</v>
      </c>
      <c r="M27" s="3" t="s">
        <v>939</v>
      </c>
      <c r="N27" s="3" t="s">
        <v>940</v>
      </c>
      <c r="O27" s="3" t="s">
        <v>942</v>
      </c>
      <c r="P27" s="3" t="s">
        <v>941</v>
      </c>
      <c r="Q27" s="3" t="s">
        <v>943</v>
      </c>
      <c r="R27" s="11" t="s">
        <v>936</v>
      </c>
      <c r="S27" s="11" t="s">
        <v>937</v>
      </c>
      <c r="T27" s="3"/>
      <c r="U27" s="3" t="s">
        <v>1197</v>
      </c>
      <c r="V27" s="3"/>
      <c r="W27" s="10">
        <f>IF( J27="s.i", "s.i", IF(ISBLANK(J27),"Actualizando información",IFERROR(J27 / VLOOKUP(A27,Deflactor!$G$3:$H$64,2,0),"Revisar error" )))</f>
        <v>39308513.61408361</v>
      </c>
      <c r="AR27" s="34" t="s">
        <v>2357</v>
      </c>
      <c r="AT27" s="46">
        <f>'Notas reunion'!T27</f>
        <v>16715000000</v>
      </c>
      <c r="AU27" s="54">
        <f xml:space="preserve"> IFERROR(ROUND(AT27 / VLOOKUP(A27,Tabla1[#All],2,0),0),"s.i")</f>
        <v>23789157</v>
      </c>
      <c r="AV27" s="33">
        <f xml:space="preserve"> IF(AU27="s.i", "s.i", IF(AND(AU27&gt;=Deflactor!$BQ$298,AU27&lt;Deflactor!$BQ$299), Deflactor!$BP$298, IF(AND(AU27&gt;=Deflactor!$BQ$299,AU27&lt;Deflactor!$BQ$300), Deflactor!$BP$299, IF(AND(AU27&gt;=Deflactor!$BQ$300,AU27&lt;Deflactor!$BQ$301), Deflactor!$BP$300, IF(AND(AU27&gt;=Deflactor!$BQ$301,AU27&lt;Deflactor!$BQ$302), Deflactor!$BP$301, IF(AND(AU27&gt;=Deflactor!$BQ$302,AU27&lt;Deflactor!$BQ$303), Deflactor!$BP$302, IF(AND(AU27&gt;=Deflactor!$BQ$303,AU27&lt;Deflactor!$BQ$304), Deflactor!$BP$303, IF(AND(AU27&gt;=Deflactor!$BQ$304,AU27&lt;Deflactor!$BQ$305), Deflactor!$BP$304, IF(AND(AU27&gt;=Deflactor!$BQ$305,AU27&lt;Deflactor!$BQ$306), Deflactor!$BP$305, IF(AND(AU27&gt;=Deflactor!$BQ$306,AU27&lt;Deflactor!$BQ$307), Deflactor!$BP$306, Deflactor!$BP$307) ) ) ) ) ) ) ) ) )</f>
        <v>7</v>
      </c>
    </row>
    <row r="28" spans="1:48" x14ac:dyDescent="0.25">
      <c r="A28" s="3">
        <v>2019</v>
      </c>
      <c r="B28" s="3" t="s">
        <v>34</v>
      </c>
      <c r="C28" s="3" t="s">
        <v>7</v>
      </c>
      <c r="D28" s="3" t="s">
        <v>8</v>
      </c>
      <c r="E28" s="3" t="s">
        <v>9</v>
      </c>
      <c r="F28" s="3" t="s">
        <v>10</v>
      </c>
      <c r="G28" s="3" t="s">
        <v>723</v>
      </c>
      <c r="H28" s="12">
        <v>1985</v>
      </c>
      <c r="I28" s="13"/>
      <c r="J28" s="10">
        <v>68399379</v>
      </c>
      <c r="K28" s="3" t="s">
        <v>1043</v>
      </c>
      <c r="L28" s="3" t="s">
        <v>729</v>
      </c>
      <c r="M28" s="3" t="s">
        <v>730</v>
      </c>
      <c r="N28" s="3" t="s">
        <v>731</v>
      </c>
      <c r="O28" s="3" t="s">
        <v>732</v>
      </c>
      <c r="P28" s="3" t="s">
        <v>733</v>
      </c>
      <c r="Q28" s="3"/>
      <c r="R28" s="11" t="s">
        <v>739</v>
      </c>
      <c r="S28" s="11" t="s">
        <v>740</v>
      </c>
      <c r="T28" s="3"/>
      <c r="U28" s="3"/>
      <c r="V28" s="3"/>
      <c r="W28" s="10">
        <f>IF( J28="s.i", "s.i", IF(ISBLANK(J28),"Actualizando información",IFERROR(J28 / VLOOKUP(A28,Deflactor!$G$3:$H$64,2,0),"Revisar error" )))</f>
        <v>53491537.120826639</v>
      </c>
      <c r="AR28" s="34">
        <f xml:space="preserve"> 1163741 * 1000</f>
        <v>1163741000</v>
      </c>
      <c r="AT28" s="46">
        <f t="shared" si="0"/>
        <v>1163741000</v>
      </c>
      <c r="AU28" s="54">
        <f xml:space="preserve"> IFERROR(ROUND(AT28 / VLOOKUP(A28,Tabla1[#All],2,0),0),"s.i")</f>
        <v>1656262</v>
      </c>
      <c r="AV28" s="33">
        <f xml:space="preserve"> IF(AU28="s.i", "s.i", IF(AND(AU28&gt;=Deflactor!$BQ$298,AU28&lt;Deflactor!$BQ$299), Deflactor!$BP$298, IF(AND(AU28&gt;=Deflactor!$BQ$299,AU28&lt;Deflactor!$BQ$300), Deflactor!$BP$299, IF(AND(AU28&gt;=Deflactor!$BQ$300,AU28&lt;Deflactor!$BQ$301), Deflactor!$BP$300, IF(AND(AU28&gt;=Deflactor!$BQ$301,AU28&lt;Deflactor!$BQ$302), Deflactor!$BP$301, IF(AND(AU28&gt;=Deflactor!$BQ$302,AU28&lt;Deflactor!$BQ$303), Deflactor!$BP$302, IF(AND(AU28&gt;=Deflactor!$BQ$303,AU28&lt;Deflactor!$BQ$304), Deflactor!$BP$303, IF(AND(AU28&gt;=Deflactor!$BQ$304,AU28&lt;Deflactor!$BQ$305), Deflactor!$BP$304, IF(AND(AU28&gt;=Deflactor!$BQ$305,AU28&lt;Deflactor!$BQ$306), Deflactor!$BP$305, IF(AND(AU28&gt;=Deflactor!$BQ$306,AU28&lt;Deflactor!$BQ$307), Deflactor!$BP$306, Deflactor!$BP$307) ) ) ) ) ) ) ) ) )</f>
        <v>1</v>
      </c>
    </row>
    <row r="29" spans="1:48" x14ac:dyDescent="0.25">
      <c r="A29" s="3">
        <v>2019</v>
      </c>
      <c r="B29" s="3" t="s">
        <v>35</v>
      </c>
      <c r="C29" s="3" t="s">
        <v>7</v>
      </c>
      <c r="D29" s="3" t="s">
        <v>36</v>
      </c>
      <c r="E29" s="3" t="s">
        <v>37</v>
      </c>
      <c r="F29" s="3" t="s">
        <v>14</v>
      </c>
      <c r="G29" s="3" t="s">
        <v>723</v>
      </c>
      <c r="H29" s="13">
        <v>2003</v>
      </c>
      <c r="I29" s="13"/>
      <c r="J29" s="10">
        <f xml:space="preserve"> 6119 * 1000000</f>
        <v>6119000000</v>
      </c>
      <c r="K29" s="3" t="s">
        <v>763</v>
      </c>
      <c r="L29" s="3" t="s">
        <v>946</v>
      </c>
      <c r="M29" s="3" t="s">
        <v>949</v>
      </c>
      <c r="N29" s="3" t="s">
        <v>947</v>
      </c>
      <c r="O29" s="3" t="s">
        <v>948</v>
      </c>
      <c r="P29" s="3" t="s">
        <v>950</v>
      </c>
      <c r="Q29" s="3"/>
      <c r="R29" s="11" t="s">
        <v>944</v>
      </c>
      <c r="S29" s="11" t="s">
        <v>945</v>
      </c>
      <c r="T29" s="3"/>
      <c r="U29" s="3"/>
      <c r="V29" s="3"/>
      <c r="W29" s="10">
        <f>IF( J29="s.i", "s.i", IF(ISBLANK(J29),"Actualizando información",IFERROR(J29 / VLOOKUP(A29,Deflactor!$G$3:$H$64,2,0),"Revisar error" )))</f>
        <v>4785346306.1753559</v>
      </c>
      <c r="AR29" s="10">
        <f xml:space="preserve"> (4063743 + 3011254) * 1000</f>
        <v>7074997000</v>
      </c>
      <c r="AT29" s="46">
        <f t="shared" si="0"/>
        <v>7074997000</v>
      </c>
      <c r="AU29" s="54">
        <f xml:space="preserve"> IFERROR(ROUND(AT29 / VLOOKUP(A29,Tabla1[#All],2,0),0),"s.i")</f>
        <v>10069292</v>
      </c>
      <c r="AV29" s="33">
        <f xml:space="preserve"> IF(AU29="s.i", "s.i", IF(AND(AU29&gt;=Deflactor!$BQ$298,AU29&lt;Deflactor!$BQ$299), Deflactor!$BP$298, IF(AND(AU29&gt;=Deflactor!$BQ$299,AU29&lt;Deflactor!$BQ$300), Deflactor!$BP$299, IF(AND(AU29&gt;=Deflactor!$BQ$300,AU29&lt;Deflactor!$BQ$301), Deflactor!$BP$300, IF(AND(AU29&gt;=Deflactor!$BQ$301,AU29&lt;Deflactor!$BQ$302), Deflactor!$BP$301, IF(AND(AU29&gt;=Deflactor!$BQ$302,AU29&lt;Deflactor!$BQ$303), Deflactor!$BP$302, IF(AND(AU29&gt;=Deflactor!$BQ$303,AU29&lt;Deflactor!$BQ$304), Deflactor!$BP$303, IF(AND(AU29&gt;=Deflactor!$BQ$304,AU29&lt;Deflactor!$BQ$305), Deflactor!$BP$304, IF(AND(AU29&gt;=Deflactor!$BQ$305,AU29&lt;Deflactor!$BQ$306), Deflactor!$BP$305, IF(AND(AU29&gt;=Deflactor!$BQ$306,AU29&lt;Deflactor!$BQ$307), Deflactor!$BP$306, Deflactor!$BP$307) ) ) ) ) ) ) ) ) )</f>
        <v>5</v>
      </c>
    </row>
    <row r="30" spans="1:48" x14ac:dyDescent="0.25">
      <c r="A30" s="3">
        <v>2019</v>
      </c>
      <c r="B30" s="3" t="s">
        <v>38</v>
      </c>
      <c r="C30" s="3" t="s">
        <v>7</v>
      </c>
      <c r="D30" s="3" t="s">
        <v>36</v>
      </c>
      <c r="E30" s="3" t="s">
        <v>37</v>
      </c>
      <c r="F30" s="3" t="s">
        <v>14</v>
      </c>
      <c r="G30" s="3" t="s">
        <v>723</v>
      </c>
      <c r="H30" s="13">
        <v>1994</v>
      </c>
      <c r="I30" s="13"/>
      <c r="J30" s="10">
        <f xml:space="preserve"> 7721 * 1000000</f>
        <v>7721000000</v>
      </c>
      <c r="K30" s="3" t="s">
        <v>2292</v>
      </c>
      <c r="L30" s="3" t="s">
        <v>956</v>
      </c>
      <c r="M30" s="3" t="s">
        <v>957</v>
      </c>
      <c r="N30" s="3" t="s">
        <v>958</v>
      </c>
      <c r="O30" s="3" t="s">
        <v>959</v>
      </c>
      <c r="P30" s="3" t="s">
        <v>960</v>
      </c>
      <c r="Q30" s="3"/>
      <c r="R30" s="11" t="s">
        <v>951</v>
      </c>
      <c r="S30" s="11" t="s">
        <v>952</v>
      </c>
      <c r="T30" s="3"/>
      <c r="U30" s="3" t="s">
        <v>1145</v>
      </c>
      <c r="V30" s="3"/>
      <c r="W30" s="10">
        <f>IF( J30="s.i", "s.i", IF(ISBLANK(J30),"Actualizando información",IFERROR(J30 / VLOOKUP(A30,Deflactor!$G$3:$H$64,2,0),"Revisar error" )))</f>
        <v>6038185786.8900023</v>
      </c>
      <c r="AR30" s="10">
        <f xml:space="preserve"> 7390946 * 1000</f>
        <v>7390946000</v>
      </c>
      <c r="AT30" s="46">
        <f t="shared" si="0"/>
        <v>7390946000</v>
      </c>
      <c r="AU30" s="54">
        <f xml:space="preserve"> IFERROR(ROUND(AT30 / VLOOKUP(A30,Tabla1[#All],2,0),0),"s.i")</f>
        <v>10518957</v>
      </c>
      <c r="AV30" s="33">
        <f xml:space="preserve"> IF(AU30="s.i", "s.i", IF(AND(AU30&gt;=Deflactor!$BQ$298,AU30&lt;Deflactor!$BQ$299), Deflactor!$BP$298, IF(AND(AU30&gt;=Deflactor!$BQ$299,AU30&lt;Deflactor!$BQ$300), Deflactor!$BP$299, IF(AND(AU30&gt;=Deflactor!$BQ$300,AU30&lt;Deflactor!$BQ$301), Deflactor!$BP$300, IF(AND(AU30&gt;=Deflactor!$BQ$301,AU30&lt;Deflactor!$BQ$302), Deflactor!$BP$301, IF(AND(AU30&gt;=Deflactor!$BQ$302,AU30&lt;Deflactor!$BQ$303), Deflactor!$BP$302, IF(AND(AU30&gt;=Deflactor!$BQ$303,AU30&lt;Deflactor!$BQ$304), Deflactor!$BP$303, IF(AND(AU30&gt;=Deflactor!$BQ$304,AU30&lt;Deflactor!$BQ$305), Deflactor!$BP$304, IF(AND(AU30&gt;=Deflactor!$BQ$305,AU30&lt;Deflactor!$BQ$306), Deflactor!$BP$305, IF(AND(AU30&gt;=Deflactor!$BQ$306,AU30&lt;Deflactor!$BQ$307), Deflactor!$BP$306, Deflactor!$BP$307) ) ) ) ) ) ) ) ) )</f>
        <v>5</v>
      </c>
    </row>
    <row r="31" spans="1:48" x14ac:dyDescent="0.25">
      <c r="A31" s="3">
        <v>2019</v>
      </c>
      <c r="B31" s="3" t="s">
        <v>39</v>
      </c>
      <c r="C31" s="3" t="s">
        <v>7</v>
      </c>
      <c r="D31" s="3" t="s">
        <v>40</v>
      </c>
      <c r="E31" s="3" t="s">
        <v>41</v>
      </c>
      <c r="F31" s="3" t="s">
        <v>27</v>
      </c>
      <c r="G31" s="3" t="s">
        <v>723</v>
      </c>
      <c r="H31" s="13">
        <v>1994</v>
      </c>
      <c r="I31" s="13"/>
      <c r="J31" s="10">
        <f xml:space="preserve"> (29098 + 43337 + 7349) * 1000000</f>
        <v>79784000000</v>
      </c>
      <c r="K31" s="3" t="s">
        <v>1654</v>
      </c>
      <c r="L31" s="3" t="s">
        <v>965</v>
      </c>
      <c r="M31" s="3" t="s">
        <v>964</v>
      </c>
      <c r="N31" s="3" t="s">
        <v>968</v>
      </c>
      <c r="O31" s="3" t="s">
        <v>966</v>
      </c>
      <c r="P31" s="3" t="s">
        <v>967</v>
      </c>
      <c r="Q31" s="3"/>
      <c r="R31" s="11" t="s">
        <v>962</v>
      </c>
      <c r="S31" s="11" t="s">
        <v>963</v>
      </c>
      <c r="T31" s="3"/>
      <c r="U31" s="3"/>
      <c r="V31" s="3"/>
      <c r="W31" s="10">
        <f>IF( J31="s.i", "s.i", IF(ISBLANK(J31),"Actualizando información",IFERROR(J31 / VLOOKUP(A31,Deflactor!$G$3:$H$64,2,0),"Revisar error" )))</f>
        <v>62394847146.902206</v>
      </c>
      <c r="AR31" s="34">
        <f xml:space="preserve"> 40590781 * 1000</f>
        <v>40590781000</v>
      </c>
      <c r="AT31" s="46">
        <f t="shared" si="0"/>
        <v>40590781000</v>
      </c>
      <c r="AU31" s="54">
        <f xml:space="preserve"> IFERROR(ROUND(AT31 / VLOOKUP(A31,Tabla1[#All],2,0),0),"s.i")</f>
        <v>57769694</v>
      </c>
      <c r="AV31" s="33">
        <f xml:space="preserve"> IF(AU31="s.i", "s.i", IF(AND(AU31&gt;=Deflactor!$BQ$298,AU31&lt;Deflactor!$BQ$299), Deflactor!$BP$298, IF(AND(AU31&gt;=Deflactor!$BQ$299,AU31&lt;Deflactor!$BQ$300), Deflactor!$BP$299, IF(AND(AU31&gt;=Deflactor!$BQ$300,AU31&lt;Deflactor!$BQ$301), Deflactor!$BP$300, IF(AND(AU31&gt;=Deflactor!$BQ$301,AU31&lt;Deflactor!$BQ$302), Deflactor!$BP$301, IF(AND(AU31&gt;=Deflactor!$BQ$302,AU31&lt;Deflactor!$BQ$303), Deflactor!$BP$302, IF(AND(AU31&gt;=Deflactor!$BQ$303,AU31&lt;Deflactor!$BQ$304), Deflactor!$BP$303, IF(AND(AU31&gt;=Deflactor!$BQ$304,AU31&lt;Deflactor!$BQ$305), Deflactor!$BP$304, IF(AND(AU31&gt;=Deflactor!$BQ$305,AU31&lt;Deflactor!$BQ$306), Deflactor!$BP$305, IF(AND(AU31&gt;=Deflactor!$BQ$306,AU31&lt;Deflactor!$BQ$307), Deflactor!$BP$306, Deflactor!$BP$307) ) ) ) ) ) ) ) ) )</f>
        <v>9</v>
      </c>
    </row>
    <row r="32" spans="1:48" x14ac:dyDescent="0.25">
      <c r="A32" s="3">
        <v>2019</v>
      </c>
      <c r="B32" s="3" t="s">
        <v>42</v>
      </c>
      <c r="C32" s="3" t="s">
        <v>7</v>
      </c>
      <c r="D32" s="3" t="s">
        <v>40</v>
      </c>
      <c r="E32" s="3" t="s">
        <v>43</v>
      </c>
      <c r="F32" s="3" t="s">
        <v>14</v>
      </c>
      <c r="G32" s="3" t="s">
        <v>723</v>
      </c>
      <c r="H32" s="13">
        <v>2009</v>
      </c>
      <c r="I32" s="13"/>
      <c r="J32" s="10">
        <f xml:space="preserve"> 6224 * 1000000</f>
        <v>6224000000</v>
      </c>
      <c r="K32" s="3" t="s">
        <v>1047</v>
      </c>
      <c r="L32" s="3" t="s">
        <v>971</v>
      </c>
      <c r="M32" s="3" t="s">
        <v>972</v>
      </c>
      <c r="N32" s="3" t="s">
        <v>973</v>
      </c>
      <c r="O32" s="3" t="s">
        <v>974</v>
      </c>
      <c r="P32" s="3" t="s">
        <v>975</v>
      </c>
      <c r="Q32" s="3"/>
      <c r="R32" s="11" t="s">
        <v>969</v>
      </c>
      <c r="S32" s="11" t="s">
        <v>970</v>
      </c>
      <c r="T32" s="3"/>
      <c r="U32" s="3"/>
      <c r="V32" s="3"/>
      <c r="W32" s="10">
        <f>IF( J32="s.i", "s.i", IF(ISBLANK(J32),"Actualizando información",IFERROR(J32 / VLOOKUP(A32,Deflactor!$G$3:$H$64,2,0),"Revisar error" )))</f>
        <v>4867461253.4132071</v>
      </c>
      <c r="AR32" s="34" t="s">
        <v>2357</v>
      </c>
      <c r="AT32" s="46" t="str">
        <f>'Notas reunion'!T28</f>
        <v>s.i</v>
      </c>
      <c r="AU32" s="54" t="str">
        <f xml:space="preserve"> IFERROR(ROUND(AT32 / VLOOKUP(A32,Tabla1[#All],2,0),0),"s.i")</f>
        <v>s.i</v>
      </c>
      <c r="AV32" s="33" t="str">
        <f xml:space="preserve"> IF(AU32="s.i", "s.i", IF(AND(AU32&gt;=Deflactor!$BQ$298,AU32&lt;Deflactor!$BQ$299), Deflactor!$BP$298, IF(AND(AU32&gt;=Deflactor!$BQ$299,AU32&lt;Deflactor!$BQ$300), Deflactor!$BP$299, IF(AND(AU32&gt;=Deflactor!$BQ$300,AU32&lt;Deflactor!$BQ$301), Deflactor!$BP$300, IF(AND(AU32&gt;=Deflactor!$BQ$301,AU32&lt;Deflactor!$BQ$302), Deflactor!$BP$301, IF(AND(AU32&gt;=Deflactor!$BQ$302,AU32&lt;Deflactor!$BQ$303), Deflactor!$BP$302, IF(AND(AU32&gt;=Deflactor!$BQ$303,AU32&lt;Deflactor!$BQ$304), Deflactor!$BP$303, IF(AND(AU32&gt;=Deflactor!$BQ$304,AU32&lt;Deflactor!$BQ$305), Deflactor!$BP$304, IF(AND(AU32&gt;=Deflactor!$BQ$305,AU32&lt;Deflactor!$BQ$306), Deflactor!$BP$305, IF(AND(AU32&gt;=Deflactor!$BQ$306,AU32&lt;Deflactor!$BQ$307), Deflactor!$BP$306, Deflactor!$BP$307) ) ) ) ) ) ) ) ) )</f>
        <v>s.i</v>
      </c>
    </row>
    <row r="33" spans="1:48" x14ac:dyDescent="0.25">
      <c r="A33" s="3">
        <v>2019</v>
      </c>
      <c r="B33" s="3" t="s">
        <v>44</v>
      </c>
      <c r="C33" s="3" t="s">
        <v>7</v>
      </c>
      <c r="D33" s="3" t="s">
        <v>45</v>
      </c>
      <c r="E33" s="3" t="s">
        <v>46</v>
      </c>
      <c r="F33" s="3" t="s">
        <v>10</v>
      </c>
      <c r="G33" s="3" t="s">
        <v>723</v>
      </c>
      <c r="H33" s="13">
        <v>1993</v>
      </c>
      <c r="I33" s="13"/>
      <c r="J33" s="10">
        <f xml:space="preserve"> 7150999 * 1000000</f>
        <v>7150999000000</v>
      </c>
      <c r="K33" s="3" t="s">
        <v>1655</v>
      </c>
      <c r="L33" s="3" t="s">
        <v>981</v>
      </c>
      <c r="M33" s="3" t="s">
        <v>978</v>
      </c>
      <c r="N33" s="3" t="s">
        <v>979</v>
      </c>
      <c r="O33" s="3" t="s">
        <v>980</v>
      </c>
      <c r="P33" s="3" t="s">
        <v>982</v>
      </c>
      <c r="Q33" s="3"/>
      <c r="R33" s="11" t="s">
        <v>976</v>
      </c>
      <c r="S33" s="11" t="s">
        <v>977</v>
      </c>
      <c r="T33" s="3"/>
      <c r="U33" s="3"/>
      <c r="V33" s="3"/>
      <c r="W33" s="10">
        <f>IF( J33="s.i", "s.i", IF(ISBLANK(J33),"Actualizando información",IFERROR(J33 / VLOOKUP(A33,Deflactor!$G$3:$H$64,2,0),"Revisar error" )))</f>
        <v>5592418148408.835</v>
      </c>
      <c r="AR33" s="34">
        <f xml:space="preserve"> 5251170 * 1000</f>
        <v>5251170000</v>
      </c>
      <c r="AT33" s="46">
        <f t="shared" si="0"/>
        <v>5251170000</v>
      </c>
      <c r="AU33" s="54">
        <f xml:space="preserve"> IFERROR(ROUND(AT33 / VLOOKUP(A33,Tabla1[#All],2,0),0),"s.i")</f>
        <v>7473581</v>
      </c>
      <c r="AV33" s="33">
        <f xml:space="preserve"> IF(AU33="s.i", "s.i", IF(AND(AU33&gt;=Deflactor!$BQ$298,AU33&lt;Deflactor!$BQ$299), Deflactor!$BP$298, IF(AND(AU33&gt;=Deflactor!$BQ$299,AU33&lt;Deflactor!$BQ$300), Deflactor!$BP$299, IF(AND(AU33&gt;=Deflactor!$BQ$300,AU33&lt;Deflactor!$BQ$301), Deflactor!$BP$300, IF(AND(AU33&gt;=Deflactor!$BQ$301,AU33&lt;Deflactor!$BQ$302), Deflactor!$BP$301, IF(AND(AU33&gt;=Deflactor!$BQ$302,AU33&lt;Deflactor!$BQ$303), Deflactor!$BP$302, IF(AND(AU33&gt;=Deflactor!$BQ$303,AU33&lt;Deflactor!$BQ$304), Deflactor!$BP$303, IF(AND(AU33&gt;=Deflactor!$BQ$304,AU33&lt;Deflactor!$BQ$305), Deflactor!$BP$304, IF(AND(AU33&gt;=Deflactor!$BQ$305,AU33&lt;Deflactor!$BQ$306), Deflactor!$BP$305, IF(AND(AU33&gt;=Deflactor!$BQ$306,AU33&lt;Deflactor!$BQ$307), Deflactor!$BP$306, Deflactor!$BP$307) ) ) ) ) ) ) ) ) )</f>
        <v>3</v>
      </c>
    </row>
    <row r="34" spans="1:48" x14ac:dyDescent="0.25">
      <c r="A34" s="3">
        <v>2019</v>
      </c>
      <c r="B34" s="3" t="s">
        <v>47</v>
      </c>
      <c r="C34" s="3" t="s">
        <v>7</v>
      </c>
      <c r="D34" s="3" t="s">
        <v>48</v>
      </c>
      <c r="E34" s="3" t="s">
        <v>49</v>
      </c>
      <c r="F34" s="3" t="s">
        <v>10</v>
      </c>
      <c r="G34" s="3" t="s">
        <v>723</v>
      </c>
      <c r="H34" s="13">
        <v>1992</v>
      </c>
      <c r="I34" s="13"/>
      <c r="J34" s="10">
        <f xml:space="preserve"> 4712 * 1000000</f>
        <v>4712000000</v>
      </c>
      <c r="K34" s="3" t="s">
        <v>1650</v>
      </c>
      <c r="L34" s="3" t="s">
        <v>986</v>
      </c>
      <c r="M34" s="3" t="s">
        <v>985</v>
      </c>
      <c r="N34" s="3" t="s">
        <v>987</v>
      </c>
      <c r="O34" s="3" t="s">
        <v>988</v>
      </c>
      <c r="P34" s="3" t="s">
        <v>989</v>
      </c>
      <c r="Q34" s="3"/>
      <c r="R34" s="11" t="s">
        <v>983</v>
      </c>
      <c r="S34" s="11" t="s">
        <v>984</v>
      </c>
      <c r="T34" s="3"/>
      <c r="U34" s="3"/>
      <c r="V34" s="3"/>
      <c r="W34" s="10">
        <f>IF( J34="s.i", "s.i", IF(ISBLANK(J34),"Actualizando información",IFERROR(J34 / VLOOKUP(A34,Deflactor!$G$3:$H$64,2,0),"Revisar error" )))</f>
        <v>3685006013.188148</v>
      </c>
      <c r="AR34" s="10">
        <f xml:space="preserve"> 3322121 * 1000</f>
        <v>3322121000</v>
      </c>
      <c r="AT34" s="46">
        <f t="shared" si="0"/>
        <v>3322121000</v>
      </c>
      <c r="AU34" s="54">
        <f xml:space="preserve"> IFERROR(ROUND(AT34 / VLOOKUP(A34,Tabla1[#All],2,0),0),"s.i")</f>
        <v>4728116</v>
      </c>
      <c r="AV34" s="33">
        <f xml:space="preserve"> IF(AU34="s.i", "s.i", IF(AND(AU34&gt;=Deflactor!$BQ$298,AU34&lt;Deflactor!$BQ$299), Deflactor!$BP$298, IF(AND(AU34&gt;=Deflactor!$BQ$299,AU34&lt;Deflactor!$BQ$300), Deflactor!$BP$299, IF(AND(AU34&gt;=Deflactor!$BQ$300,AU34&lt;Deflactor!$BQ$301), Deflactor!$BP$300, IF(AND(AU34&gt;=Deflactor!$BQ$301,AU34&lt;Deflactor!$BQ$302), Deflactor!$BP$301, IF(AND(AU34&gt;=Deflactor!$BQ$302,AU34&lt;Deflactor!$BQ$303), Deflactor!$BP$302, IF(AND(AU34&gt;=Deflactor!$BQ$303,AU34&lt;Deflactor!$BQ$304), Deflactor!$BP$303, IF(AND(AU34&gt;=Deflactor!$BQ$304,AU34&lt;Deflactor!$BQ$305), Deflactor!$BP$304, IF(AND(AU34&gt;=Deflactor!$BQ$305,AU34&lt;Deflactor!$BQ$306), Deflactor!$BP$305, IF(AND(AU34&gt;=Deflactor!$BQ$306,AU34&lt;Deflactor!$BQ$307), Deflactor!$BP$306, Deflactor!$BP$307) ) ) ) ) ) ) ) ) )</f>
        <v>2</v>
      </c>
    </row>
    <row r="35" spans="1:48" x14ac:dyDescent="0.25">
      <c r="A35" s="3">
        <v>2018</v>
      </c>
      <c r="B35" s="3" t="s">
        <v>50</v>
      </c>
      <c r="C35" s="3" t="s">
        <v>7</v>
      </c>
      <c r="D35" s="3" t="s">
        <v>8</v>
      </c>
      <c r="E35" s="3" t="s">
        <v>51</v>
      </c>
      <c r="F35" s="3" t="s">
        <v>14</v>
      </c>
      <c r="G35" s="3" t="s">
        <v>723</v>
      </c>
      <c r="H35" s="13">
        <v>1997</v>
      </c>
      <c r="I35" s="13" t="s">
        <v>623</v>
      </c>
      <c r="J35" s="10">
        <v>40543883</v>
      </c>
      <c r="K35" s="3" t="s">
        <v>741</v>
      </c>
      <c r="L35" s="3" t="s">
        <v>742</v>
      </c>
      <c r="M35" s="3" t="s">
        <v>741</v>
      </c>
      <c r="N35" s="3" t="s">
        <v>743</v>
      </c>
      <c r="O35" s="3"/>
      <c r="P35" s="3"/>
      <c r="Q35" s="3"/>
      <c r="R35" s="3"/>
      <c r="S35" s="3"/>
      <c r="T35" s="3"/>
      <c r="U35" s="3"/>
      <c r="V35" s="3"/>
      <c r="W35" s="10">
        <f>IF( J35="s.i", "s.i", IF(ISBLANK(J35),"Actualizando información",IFERROR(J35 / VLOOKUP(A35,Deflactor!$G$3:$H$64,2,0),"Revisar error" )))</f>
        <v>32553369.4451956</v>
      </c>
      <c r="AR35" s="34">
        <f xml:space="preserve"> 21671920 * 1000</f>
        <v>21671920000</v>
      </c>
      <c r="AT35" s="46">
        <f t="shared" si="0"/>
        <v>21671920000</v>
      </c>
      <c r="AU35" s="54">
        <f xml:space="preserve"> IFERROR(ROUND(AT35 / VLOOKUP(A35,Tabla1[#All],2,0),0),"s.i")</f>
        <v>33846997</v>
      </c>
      <c r="AV35" s="33">
        <f xml:space="preserve"> IF(AU35="s.i", "s.i", IF(AND(AU35&gt;=Deflactor!$BQ$298,AU35&lt;Deflactor!$BQ$299), Deflactor!$BP$298, IF(AND(AU35&gt;=Deflactor!$BQ$299,AU35&lt;Deflactor!$BQ$300), Deflactor!$BP$299, IF(AND(AU35&gt;=Deflactor!$BQ$300,AU35&lt;Deflactor!$BQ$301), Deflactor!$BP$300, IF(AND(AU35&gt;=Deflactor!$BQ$301,AU35&lt;Deflactor!$BQ$302), Deflactor!$BP$301, IF(AND(AU35&gt;=Deflactor!$BQ$302,AU35&lt;Deflactor!$BQ$303), Deflactor!$BP$302, IF(AND(AU35&gt;=Deflactor!$BQ$303,AU35&lt;Deflactor!$BQ$304), Deflactor!$BP$303, IF(AND(AU35&gt;=Deflactor!$BQ$304,AU35&lt;Deflactor!$BQ$305), Deflactor!$BP$304, IF(AND(AU35&gt;=Deflactor!$BQ$305,AU35&lt;Deflactor!$BQ$306), Deflactor!$BP$305, IF(AND(AU35&gt;=Deflactor!$BQ$306,AU35&lt;Deflactor!$BQ$307), Deflactor!$BP$306, Deflactor!$BP$307) ) ) ) ) ) ) ) ) )</f>
        <v>8</v>
      </c>
    </row>
    <row r="36" spans="1:48" x14ac:dyDescent="0.25">
      <c r="A36" s="3">
        <v>2018</v>
      </c>
      <c r="B36" s="3" t="s">
        <v>52</v>
      </c>
      <c r="C36" s="3" t="s">
        <v>7</v>
      </c>
      <c r="D36" s="3" t="s">
        <v>20</v>
      </c>
      <c r="E36" s="3" t="s">
        <v>23</v>
      </c>
      <c r="F36" s="3" t="s">
        <v>10</v>
      </c>
      <c r="G36" s="3" t="s">
        <v>623</v>
      </c>
      <c r="H36" s="13">
        <v>2012</v>
      </c>
      <c r="I36" s="13" t="s">
        <v>623</v>
      </c>
      <c r="J36" s="10">
        <f xml:space="preserve"> 9622.8 * 1000000</f>
        <v>9622800000</v>
      </c>
      <c r="K36" s="3" t="s">
        <v>1045</v>
      </c>
      <c r="L36" s="3" t="s">
        <v>762</v>
      </c>
      <c r="M36" s="3" t="s">
        <v>760</v>
      </c>
      <c r="N36" s="3" t="s">
        <v>761</v>
      </c>
      <c r="O36" s="3" t="s">
        <v>763</v>
      </c>
      <c r="P36" s="3"/>
      <c r="Q36" s="3"/>
      <c r="R36" s="3" t="s">
        <v>764</v>
      </c>
      <c r="S36" s="3" t="s">
        <v>765</v>
      </c>
      <c r="T36" s="3" t="s">
        <v>766</v>
      </c>
      <c r="U36" s="3"/>
      <c r="V36" s="3"/>
      <c r="W36" s="10">
        <f>IF( J36="s.i", "s.i", IF(ISBLANK(J36),"Actualizando información",IFERROR(J36 / VLOOKUP(A36,Deflactor!$G$3:$H$64,2,0),"Revisar error" )))</f>
        <v>7726308886.0341339</v>
      </c>
      <c r="AR36" s="34" t="s">
        <v>2357</v>
      </c>
      <c r="AT36" s="46">
        <f>'Notas reunion'!T29</f>
        <v>8218000000</v>
      </c>
      <c r="AU36" s="54">
        <f xml:space="preserve"> IFERROR(ROUND(AT36 / VLOOKUP(A36,Tabla1[#All],2,0),0),"s.i")</f>
        <v>12834794</v>
      </c>
      <c r="AV36" s="33">
        <f xml:space="preserve"> IF(AU36="s.i", "s.i", IF(AND(AU36&gt;=Deflactor!$BQ$298,AU36&lt;Deflactor!$BQ$299), Deflactor!$BP$298, IF(AND(AU36&gt;=Deflactor!$BQ$299,AU36&lt;Deflactor!$BQ$300), Deflactor!$BP$299, IF(AND(AU36&gt;=Deflactor!$BQ$300,AU36&lt;Deflactor!$BQ$301), Deflactor!$BP$300, IF(AND(AU36&gt;=Deflactor!$BQ$301,AU36&lt;Deflactor!$BQ$302), Deflactor!$BP$301, IF(AND(AU36&gt;=Deflactor!$BQ$302,AU36&lt;Deflactor!$BQ$303), Deflactor!$BP$302, IF(AND(AU36&gt;=Deflactor!$BQ$303,AU36&lt;Deflactor!$BQ$304), Deflactor!$BP$303, IF(AND(AU36&gt;=Deflactor!$BQ$304,AU36&lt;Deflactor!$BQ$305), Deflactor!$BP$304, IF(AND(AU36&gt;=Deflactor!$BQ$305,AU36&lt;Deflactor!$BQ$306), Deflactor!$BP$305, IF(AND(AU36&gt;=Deflactor!$BQ$306,AU36&lt;Deflactor!$BQ$307), Deflactor!$BP$306, Deflactor!$BP$307) ) ) ) ) ) ) ) ) )</f>
        <v>5</v>
      </c>
    </row>
    <row r="37" spans="1:48" x14ac:dyDescent="0.25">
      <c r="A37" s="3">
        <v>2018</v>
      </c>
      <c r="B37" s="3" t="s">
        <v>53</v>
      </c>
      <c r="C37" s="3" t="s">
        <v>7</v>
      </c>
      <c r="D37" s="3" t="s">
        <v>54</v>
      </c>
      <c r="E37" s="3" t="s">
        <v>55</v>
      </c>
      <c r="F37" s="3" t="s">
        <v>10</v>
      </c>
      <c r="G37" s="3" t="s">
        <v>623</v>
      </c>
      <c r="H37" s="13">
        <v>2014</v>
      </c>
      <c r="I37" s="13" t="s">
        <v>623</v>
      </c>
      <c r="J37" s="10">
        <f xml:space="preserve"> 40949 * 1000000</f>
        <v>40949000000</v>
      </c>
      <c r="K37" s="3" t="s">
        <v>1657</v>
      </c>
      <c r="L37" s="3" t="s">
        <v>823</v>
      </c>
      <c r="M37" s="3" t="s">
        <v>824</v>
      </c>
      <c r="N37" s="3" t="s">
        <v>825</v>
      </c>
      <c r="O37" s="3" t="s">
        <v>826</v>
      </c>
      <c r="P37" s="3" t="s">
        <v>827</v>
      </c>
      <c r="Q37" s="3"/>
      <c r="R37" s="3" t="s">
        <v>820</v>
      </c>
      <c r="S37" s="3" t="s">
        <v>821</v>
      </c>
      <c r="T37" s="3" t="s">
        <v>822</v>
      </c>
      <c r="U37" s="3"/>
      <c r="V37" s="3"/>
      <c r="W37" s="10">
        <f>IF( J37="s.i", "s.i", IF(ISBLANK(J37),"Actualizando información",IFERROR(J37 / VLOOKUP(A37,Deflactor!$G$3:$H$64,2,0),"Revisar error" )))</f>
        <v>32878644736.896927</v>
      </c>
      <c r="AR37" s="34" t="s">
        <v>2357</v>
      </c>
      <c r="AT37" s="46">
        <f>'Notas reunion'!T30</f>
        <v>37370000000</v>
      </c>
      <c r="AU37" s="54">
        <f xml:space="preserve"> IFERROR(ROUND(AT37 / VLOOKUP(A37,Tabla1[#All],2,0),0),"s.i")</f>
        <v>58364108</v>
      </c>
      <c r="AV37" s="33">
        <f xml:space="preserve"> IF(AU37="s.i", "s.i", IF(AND(AU37&gt;=Deflactor!$BQ$298,AU37&lt;Deflactor!$BQ$299), Deflactor!$BP$298, IF(AND(AU37&gt;=Deflactor!$BQ$299,AU37&lt;Deflactor!$BQ$300), Deflactor!$BP$299, IF(AND(AU37&gt;=Deflactor!$BQ$300,AU37&lt;Deflactor!$BQ$301), Deflactor!$BP$300, IF(AND(AU37&gt;=Deflactor!$BQ$301,AU37&lt;Deflactor!$BQ$302), Deflactor!$BP$301, IF(AND(AU37&gt;=Deflactor!$BQ$302,AU37&lt;Deflactor!$BQ$303), Deflactor!$BP$302, IF(AND(AU37&gt;=Deflactor!$BQ$303,AU37&lt;Deflactor!$BQ$304), Deflactor!$BP$303, IF(AND(AU37&gt;=Deflactor!$BQ$304,AU37&lt;Deflactor!$BQ$305), Deflactor!$BP$304, IF(AND(AU37&gt;=Deflactor!$BQ$305,AU37&lt;Deflactor!$BQ$306), Deflactor!$BP$305, IF(AND(AU37&gt;=Deflactor!$BQ$306,AU37&lt;Deflactor!$BQ$307), Deflactor!$BP$306, Deflactor!$BP$307) ) ) ) ) ) ) ) ) )</f>
        <v>9</v>
      </c>
    </row>
    <row r="38" spans="1:48" x14ac:dyDescent="0.25">
      <c r="A38" s="3">
        <v>2018</v>
      </c>
      <c r="B38" s="3" t="s">
        <v>56</v>
      </c>
      <c r="C38" s="3" t="s">
        <v>7</v>
      </c>
      <c r="D38" s="3" t="s">
        <v>54</v>
      </c>
      <c r="E38" s="3" t="s">
        <v>55</v>
      </c>
      <c r="F38" s="3" t="s">
        <v>14</v>
      </c>
      <c r="G38" s="3" t="s">
        <v>623</v>
      </c>
      <c r="H38" s="13">
        <v>2008</v>
      </c>
      <c r="I38" s="13" t="s">
        <v>623</v>
      </c>
      <c r="J38" s="10">
        <f xml:space="preserve"> 143807 * 1000000</f>
        <v>143807000000</v>
      </c>
      <c r="K38" s="3" t="s">
        <v>1659</v>
      </c>
      <c r="L38" s="3" t="s">
        <v>831</v>
      </c>
      <c r="M38" s="3" t="s">
        <v>832</v>
      </c>
      <c r="N38" s="3" t="s">
        <v>833</v>
      </c>
      <c r="O38" s="3" t="s">
        <v>834</v>
      </c>
      <c r="P38" s="3"/>
      <c r="Q38" s="3"/>
      <c r="R38" s="3" t="s">
        <v>828</v>
      </c>
      <c r="S38" s="3" t="s">
        <v>829</v>
      </c>
      <c r="T38" s="3" t="s">
        <v>830</v>
      </c>
      <c r="U38" s="3"/>
      <c r="V38" s="3"/>
      <c r="W38" s="10">
        <f>IF( J38="s.i", "s.i", IF(ISBLANK(J38),"Actualizando información",IFERROR(J38 / VLOOKUP(A38,Deflactor!$G$3:$H$64,2,0),"Revisar error" )))</f>
        <v>115465072741.18871</v>
      </c>
      <c r="AR38" s="34" t="s">
        <v>2357</v>
      </c>
      <c r="AT38" s="46">
        <f>'Notas reunion'!T31</f>
        <v>142181835000</v>
      </c>
      <c r="AU38" s="54">
        <f xml:space="preserve"> IFERROR(ROUND(AT38 / VLOOKUP(A38,Tabla1[#All],2,0),0),"s.i")</f>
        <v>222058229</v>
      </c>
      <c r="AV38" s="33">
        <f xml:space="preserve"> IF(AU38="s.i", "s.i", IF(AND(AU38&gt;=Deflactor!$BQ$298,AU38&lt;Deflactor!$BQ$299), Deflactor!$BP$298, IF(AND(AU38&gt;=Deflactor!$BQ$299,AU38&lt;Deflactor!$BQ$300), Deflactor!$BP$299, IF(AND(AU38&gt;=Deflactor!$BQ$300,AU38&lt;Deflactor!$BQ$301), Deflactor!$BP$300, IF(AND(AU38&gt;=Deflactor!$BQ$301,AU38&lt;Deflactor!$BQ$302), Deflactor!$BP$301, IF(AND(AU38&gt;=Deflactor!$BQ$302,AU38&lt;Deflactor!$BQ$303), Deflactor!$BP$302, IF(AND(AU38&gt;=Deflactor!$BQ$303,AU38&lt;Deflactor!$BQ$304), Deflactor!$BP$303, IF(AND(AU38&gt;=Deflactor!$BQ$304,AU38&lt;Deflactor!$BQ$305), Deflactor!$BP$304, IF(AND(AU38&gt;=Deflactor!$BQ$305,AU38&lt;Deflactor!$BQ$306), Deflactor!$BP$305, IF(AND(AU38&gt;=Deflactor!$BQ$306,AU38&lt;Deflactor!$BQ$307), Deflactor!$BP$306, Deflactor!$BP$307) ) ) ) ) ) ) ) ) )</f>
        <v>10</v>
      </c>
    </row>
    <row r="39" spans="1:48" x14ac:dyDescent="0.25">
      <c r="A39" s="3">
        <v>2018</v>
      </c>
      <c r="B39" s="3" t="s">
        <v>57</v>
      </c>
      <c r="C39" s="3" t="s">
        <v>7</v>
      </c>
      <c r="D39" s="3" t="s">
        <v>12</v>
      </c>
      <c r="E39" s="3" t="s">
        <v>58</v>
      </c>
      <c r="F39" s="3" t="s">
        <v>10</v>
      </c>
      <c r="G39" s="3" t="s">
        <v>723</v>
      </c>
      <c r="H39" s="13">
        <v>2015</v>
      </c>
      <c r="I39" s="13" t="s">
        <v>744</v>
      </c>
      <c r="J39" s="10">
        <v>7036128</v>
      </c>
      <c r="K39" s="3" t="s">
        <v>1660</v>
      </c>
      <c r="L39" s="3" t="s">
        <v>745</v>
      </c>
      <c r="M39" s="3" t="s">
        <v>746</v>
      </c>
      <c r="N39" s="3" t="s">
        <v>763</v>
      </c>
      <c r="O39" s="3" t="s">
        <v>747</v>
      </c>
      <c r="P39" s="3"/>
      <c r="Q39" s="3"/>
      <c r="R39" s="3" t="s">
        <v>739</v>
      </c>
      <c r="S39" s="3" t="s">
        <v>740</v>
      </c>
      <c r="T39" s="3"/>
      <c r="U39" s="3"/>
      <c r="V39" s="3"/>
      <c r="W39" s="10">
        <f>IF( J39="s.i", "s.i", IF(ISBLANK(J39),"Actualizando información",IFERROR(J39 / VLOOKUP(A39,Deflactor!$G$3:$H$64,2,0),"Revisar error" )))</f>
        <v>5649426.1846524477</v>
      </c>
      <c r="AR39" s="34" t="s">
        <v>2357</v>
      </c>
      <c r="AT39" s="46">
        <f>'Notas reunion'!T32</f>
        <v>3000416000</v>
      </c>
      <c r="AU39" s="54">
        <f xml:space="preserve"> IFERROR(ROUND(AT39 / VLOOKUP(A39,Tabla1[#All],2,0),0),"s.i")</f>
        <v>4686021</v>
      </c>
      <c r="AV39" s="33">
        <f xml:space="preserve"> IF(AU39="s.i", "s.i", IF(AND(AU39&gt;=Deflactor!$BQ$298,AU39&lt;Deflactor!$BQ$299), Deflactor!$BP$298, IF(AND(AU39&gt;=Deflactor!$BQ$299,AU39&lt;Deflactor!$BQ$300), Deflactor!$BP$299, IF(AND(AU39&gt;=Deflactor!$BQ$300,AU39&lt;Deflactor!$BQ$301), Deflactor!$BP$300, IF(AND(AU39&gt;=Deflactor!$BQ$301,AU39&lt;Deflactor!$BQ$302), Deflactor!$BP$301, IF(AND(AU39&gt;=Deflactor!$BQ$302,AU39&lt;Deflactor!$BQ$303), Deflactor!$BP$302, IF(AND(AU39&gt;=Deflactor!$BQ$303,AU39&lt;Deflactor!$BQ$304), Deflactor!$BP$303, IF(AND(AU39&gt;=Deflactor!$BQ$304,AU39&lt;Deflactor!$BQ$305), Deflactor!$BP$304, IF(AND(AU39&gt;=Deflactor!$BQ$305,AU39&lt;Deflactor!$BQ$306), Deflactor!$BP$305, IF(AND(AU39&gt;=Deflactor!$BQ$306,AU39&lt;Deflactor!$BQ$307), Deflactor!$BP$306, Deflactor!$BP$307) ) ) ) ) ) ) ) ) )</f>
        <v>2</v>
      </c>
    </row>
    <row r="40" spans="1:48" x14ac:dyDescent="0.25">
      <c r="A40" s="3">
        <v>2018</v>
      </c>
      <c r="B40" s="3" t="s">
        <v>59</v>
      </c>
      <c r="C40" s="3" t="s">
        <v>7</v>
      </c>
      <c r="D40" s="3" t="s">
        <v>12</v>
      </c>
      <c r="E40" s="3" t="s">
        <v>58</v>
      </c>
      <c r="F40" s="3" t="s">
        <v>10</v>
      </c>
      <c r="G40" s="3" t="s">
        <v>723</v>
      </c>
      <c r="H40" s="13">
        <v>2015</v>
      </c>
      <c r="I40" s="13" t="s">
        <v>744</v>
      </c>
      <c r="J40" s="10">
        <v>7036128</v>
      </c>
      <c r="K40" s="3" t="s">
        <v>1660</v>
      </c>
      <c r="L40" s="3" t="s">
        <v>745</v>
      </c>
      <c r="M40" s="3" t="s">
        <v>746</v>
      </c>
      <c r="N40" s="3" t="s">
        <v>990</v>
      </c>
      <c r="O40" s="3"/>
      <c r="P40" s="3"/>
      <c r="Q40" s="3"/>
      <c r="R40" s="11" t="s">
        <v>2370</v>
      </c>
      <c r="S40" s="11" t="s">
        <v>2371</v>
      </c>
      <c r="T40" s="11" t="s">
        <v>2372</v>
      </c>
      <c r="U40" s="3"/>
      <c r="V40" s="3"/>
      <c r="W40" s="10">
        <f>IF( J40="s.i", "s.i", IF(ISBLANK(J40),"Actualizando información",IFERROR(J40 / VLOOKUP(A40,Deflactor!$G$3:$H$64,2,0),"Revisar error" )))</f>
        <v>5649426.1846524477</v>
      </c>
      <c r="AR40" s="34" t="s">
        <v>2357</v>
      </c>
      <c r="AT40" s="46">
        <f>'Notas reunion'!T33</f>
        <v>821167000</v>
      </c>
      <c r="AU40" s="54">
        <f xml:space="preserve"> IFERROR(ROUND(AT40 / VLOOKUP(A40,Tabla1[#All],2,0),0),"s.i")</f>
        <v>1282491</v>
      </c>
      <c r="AV40" s="33">
        <f xml:space="preserve"> IF(AU40="s.i", "s.i", IF(AND(AU40&gt;=Deflactor!$BQ$298,AU40&lt;Deflactor!$BQ$299), Deflactor!$BP$298, IF(AND(AU40&gt;=Deflactor!$BQ$299,AU40&lt;Deflactor!$BQ$300), Deflactor!$BP$299, IF(AND(AU40&gt;=Deflactor!$BQ$300,AU40&lt;Deflactor!$BQ$301), Deflactor!$BP$300, IF(AND(AU40&gt;=Deflactor!$BQ$301,AU40&lt;Deflactor!$BQ$302), Deflactor!$BP$301, IF(AND(AU40&gt;=Deflactor!$BQ$302,AU40&lt;Deflactor!$BQ$303), Deflactor!$BP$302, IF(AND(AU40&gt;=Deflactor!$BQ$303,AU40&lt;Deflactor!$BQ$304), Deflactor!$BP$303, IF(AND(AU40&gt;=Deflactor!$BQ$304,AU40&lt;Deflactor!$BQ$305), Deflactor!$BP$304, IF(AND(AU40&gt;=Deflactor!$BQ$305,AU40&lt;Deflactor!$BQ$306), Deflactor!$BP$305, IF(AND(AU40&gt;=Deflactor!$BQ$306,AU40&lt;Deflactor!$BQ$307), Deflactor!$BP$306, Deflactor!$BP$307) ) ) ) ) ) ) ) ) )</f>
        <v>1</v>
      </c>
    </row>
    <row r="41" spans="1:48" x14ac:dyDescent="0.25">
      <c r="A41" s="3">
        <v>2018</v>
      </c>
      <c r="B41" s="3" t="s">
        <v>60</v>
      </c>
      <c r="C41" s="3" t="s">
        <v>7</v>
      </c>
      <c r="D41" s="3" t="s">
        <v>12</v>
      </c>
      <c r="E41" s="3" t="s">
        <v>61</v>
      </c>
      <c r="F41" s="3" t="s">
        <v>30</v>
      </c>
      <c r="G41" s="3" t="s">
        <v>723</v>
      </c>
      <c r="H41" s="13">
        <v>2015</v>
      </c>
      <c r="I41" s="13" t="s">
        <v>744</v>
      </c>
      <c r="J41" s="10">
        <f xml:space="preserve"> 10960 * 1000000</f>
        <v>10960000000</v>
      </c>
      <c r="K41" s="3"/>
      <c r="L41" s="3" t="s">
        <v>748</v>
      </c>
      <c r="M41" s="3" t="s">
        <v>749</v>
      </c>
      <c r="N41" s="3" t="s">
        <v>750</v>
      </c>
      <c r="O41" s="3"/>
      <c r="P41" s="3"/>
      <c r="Q41" s="3"/>
      <c r="R41" s="3" t="s">
        <v>751</v>
      </c>
      <c r="S41" s="3" t="s">
        <v>752</v>
      </c>
      <c r="T41" s="3"/>
      <c r="U41" s="3"/>
      <c r="V41" s="3"/>
      <c r="W41" s="10">
        <f>IF( J41="s.i", "s.i", IF(ISBLANK(J41),"Actualizando información",IFERROR(J41 / VLOOKUP(A41,Deflactor!$G$3:$H$64,2,0),"Revisar error" )))</f>
        <v>8799969384.2679996</v>
      </c>
      <c r="AR41" s="34">
        <f xml:space="preserve"> 1057262 * 1000</f>
        <v>1057262000</v>
      </c>
      <c r="AT41" s="46">
        <f t="shared" si="0"/>
        <v>1057262000</v>
      </c>
      <c r="AU41" s="54">
        <f xml:space="preserve"> IFERROR(ROUND(AT41 / VLOOKUP(A41,Tabla1[#All],2,0),0),"s.i")</f>
        <v>1651222</v>
      </c>
      <c r="AV41" s="33">
        <f xml:space="preserve"> IF(AU41="s.i", "s.i", IF(AND(AU41&gt;=Deflactor!$BQ$298,AU41&lt;Deflactor!$BQ$299), Deflactor!$BP$298, IF(AND(AU41&gt;=Deflactor!$BQ$299,AU41&lt;Deflactor!$BQ$300), Deflactor!$BP$299, IF(AND(AU41&gt;=Deflactor!$BQ$300,AU41&lt;Deflactor!$BQ$301), Deflactor!$BP$300, IF(AND(AU41&gt;=Deflactor!$BQ$301,AU41&lt;Deflactor!$BQ$302), Deflactor!$BP$301, IF(AND(AU41&gt;=Deflactor!$BQ$302,AU41&lt;Deflactor!$BQ$303), Deflactor!$BP$302, IF(AND(AU41&gt;=Deflactor!$BQ$303,AU41&lt;Deflactor!$BQ$304), Deflactor!$BP$303, IF(AND(AU41&gt;=Deflactor!$BQ$304,AU41&lt;Deflactor!$BQ$305), Deflactor!$BP$304, IF(AND(AU41&gt;=Deflactor!$BQ$305,AU41&lt;Deflactor!$BQ$306), Deflactor!$BP$305, IF(AND(AU41&gt;=Deflactor!$BQ$306,AU41&lt;Deflactor!$BQ$307), Deflactor!$BP$306, Deflactor!$BP$307) ) ) ) ) ) ) ) ) )</f>
        <v>1</v>
      </c>
    </row>
    <row r="42" spans="1:48" x14ac:dyDescent="0.25">
      <c r="A42" s="3">
        <v>2018</v>
      </c>
      <c r="B42" s="3" t="s">
        <v>62</v>
      </c>
      <c r="C42" s="3" t="s">
        <v>7</v>
      </c>
      <c r="D42" s="3" t="s">
        <v>12</v>
      </c>
      <c r="E42" s="3" t="s">
        <v>61</v>
      </c>
      <c r="F42" s="3" t="s">
        <v>14</v>
      </c>
      <c r="G42" s="3" t="s">
        <v>623</v>
      </c>
      <c r="H42" s="13">
        <v>2014</v>
      </c>
      <c r="I42" s="13" t="s">
        <v>623</v>
      </c>
      <c r="J42" s="10">
        <f xml:space="preserve"> 28402 * 1000000</f>
        <v>28402000000</v>
      </c>
      <c r="K42" s="3" t="s">
        <v>1661</v>
      </c>
      <c r="L42" s="3" t="s">
        <v>753</v>
      </c>
      <c r="M42" s="3" t="s">
        <v>754</v>
      </c>
      <c r="N42" s="3" t="s">
        <v>757</v>
      </c>
      <c r="O42" s="3" t="s">
        <v>758</v>
      </c>
      <c r="P42" s="3" t="s">
        <v>759</v>
      </c>
      <c r="Q42" s="3"/>
      <c r="R42" s="11" t="s">
        <v>755</v>
      </c>
      <c r="S42" s="3" t="s">
        <v>756</v>
      </c>
      <c r="T42" s="3"/>
      <c r="U42" s="3"/>
      <c r="V42" s="3"/>
      <c r="W42" s="10">
        <f>IF( J42="s.i", "s.i", IF(ISBLANK(J42),"Actualizando información",IFERROR(J42 / VLOOKUP(A42,Deflactor!$G$3:$H$64,2,0),"Revisar error" )))</f>
        <v>22804446209.122238</v>
      </c>
      <c r="AR42" s="34">
        <f xml:space="preserve"> (1356365 + 1453073) * 1000</f>
        <v>2809438000</v>
      </c>
      <c r="AT42" s="46">
        <f t="shared" si="0"/>
        <v>2809438000</v>
      </c>
      <c r="AU42" s="54">
        <f xml:space="preserve"> IFERROR(ROUND(AT42 / VLOOKUP(A42,Tabla1[#All],2,0),0),"s.i")</f>
        <v>4387753</v>
      </c>
      <c r="AV42" s="33">
        <f xml:space="preserve"> IF(AU42="s.i", "s.i", IF(AND(AU42&gt;=Deflactor!$BQ$298,AU42&lt;Deflactor!$BQ$299), Deflactor!$BP$298, IF(AND(AU42&gt;=Deflactor!$BQ$299,AU42&lt;Deflactor!$BQ$300), Deflactor!$BP$299, IF(AND(AU42&gt;=Deflactor!$BQ$300,AU42&lt;Deflactor!$BQ$301), Deflactor!$BP$300, IF(AND(AU42&gt;=Deflactor!$BQ$301,AU42&lt;Deflactor!$BQ$302), Deflactor!$BP$301, IF(AND(AU42&gt;=Deflactor!$BQ$302,AU42&lt;Deflactor!$BQ$303), Deflactor!$BP$302, IF(AND(AU42&gt;=Deflactor!$BQ$303,AU42&lt;Deflactor!$BQ$304), Deflactor!$BP$303, IF(AND(AU42&gt;=Deflactor!$BQ$304,AU42&lt;Deflactor!$BQ$305), Deflactor!$BP$304, IF(AND(AU42&gt;=Deflactor!$BQ$305,AU42&lt;Deflactor!$BQ$306), Deflactor!$BP$305, IF(AND(AU42&gt;=Deflactor!$BQ$306,AU42&lt;Deflactor!$BQ$307), Deflactor!$BP$306, Deflactor!$BP$307) ) ) ) ) ) ) ) ) )</f>
        <v>2</v>
      </c>
    </row>
    <row r="43" spans="1:48" x14ac:dyDescent="0.25">
      <c r="A43" s="3">
        <v>2018</v>
      </c>
      <c r="B43" s="3" t="s">
        <v>63</v>
      </c>
      <c r="C43" s="3" t="s">
        <v>7</v>
      </c>
      <c r="D43" s="3" t="s">
        <v>64</v>
      </c>
      <c r="E43" s="3" t="s">
        <v>65</v>
      </c>
      <c r="F43" s="3" t="s">
        <v>27</v>
      </c>
      <c r="G43" s="3" t="s">
        <v>623</v>
      </c>
      <c r="H43" s="3">
        <v>2009</v>
      </c>
      <c r="I43" s="13" t="s">
        <v>623</v>
      </c>
      <c r="J43" s="10">
        <f xml:space="preserve"> 70930 * 1000000</f>
        <v>70930000000</v>
      </c>
      <c r="K43" s="3" t="s">
        <v>1668</v>
      </c>
      <c r="L43" s="3" t="s">
        <v>838</v>
      </c>
      <c r="M43" s="3" t="s">
        <v>839</v>
      </c>
      <c r="N43" s="3" t="s">
        <v>840</v>
      </c>
      <c r="O43" s="3" t="s">
        <v>841</v>
      </c>
      <c r="P43" s="3"/>
      <c r="Q43" s="3"/>
      <c r="R43" s="3" t="s">
        <v>835</v>
      </c>
      <c r="S43" s="3" t="s">
        <v>836</v>
      </c>
      <c r="T43" s="3" t="s">
        <v>837</v>
      </c>
      <c r="U43" s="3"/>
      <c r="V43" s="3"/>
      <c r="W43" s="10">
        <f>IF( J43="s.i", "s.i", IF(ISBLANK(J43),"Actualizando información",IFERROR(J43 / VLOOKUP(A43,Deflactor!$G$3:$H$64,2,0),"Revisar error" )))</f>
        <v>56950896754.20887</v>
      </c>
      <c r="AR43" s="10">
        <f xml:space="preserve"> 70242219 * 1000</f>
        <v>70242219000</v>
      </c>
      <c r="AT43" s="46">
        <f t="shared" si="0"/>
        <v>70242219000</v>
      </c>
      <c r="AU43" s="54">
        <f xml:space="preserve"> IFERROR(ROUND(AT43 / VLOOKUP(A43,Tabla1[#All],2,0),0),"s.i")</f>
        <v>109703625</v>
      </c>
      <c r="AV43" s="33">
        <f xml:space="preserve"> IF(AU43="s.i", "s.i", IF(AND(AU43&gt;=Deflactor!$BQ$298,AU43&lt;Deflactor!$BQ$299), Deflactor!$BP$298, IF(AND(AU43&gt;=Deflactor!$BQ$299,AU43&lt;Deflactor!$BQ$300), Deflactor!$BP$299, IF(AND(AU43&gt;=Deflactor!$BQ$300,AU43&lt;Deflactor!$BQ$301), Deflactor!$BP$300, IF(AND(AU43&gt;=Deflactor!$BQ$301,AU43&lt;Deflactor!$BQ$302), Deflactor!$BP$301, IF(AND(AU43&gt;=Deflactor!$BQ$302,AU43&lt;Deflactor!$BQ$303), Deflactor!$BP$302, IF(AND(AU43&gt;=Deflactor!$BQ$303,AU43&lt;Deflactor!$BQ$304), Deflactor!$BP$303, IF(AND(AU43&gt;=Deflactor!$BQ$304,AU43&lt;Deflactor!$BQ$305), Deflactor!$BP$304, IF(AND(AU43&gt;=Deflactor!$BQ$305,AU43&lt;Deflactor!$BQ$306), Deflactor!$BP$305, IF(AND(AU43&gt;=Deflactor!$BQ$306,AU43&lt;Deflactor!$BQ$307), Deflactor!$BP$306, Deflactor!$BP$307) ) ) ) ) ) ) ) ) )</f>
        <v>10</v>
      </c>
    </row>
    <row r="44" spans="1:48" x14ac:dyDescent="0.25">
      <c r="A44" s="3">
        <v>2018</v>
      </c>
      <c r="B44" s="3" t="s">
        <v>66</v>
      </c>
      <c r="C44" s="3" t="s">
        <v>67</v>
      </c>
      <c r="D44" s="3" t="s">
        <v>36</v>
      </c>
      <c r="E44" s="3" t="s">
        <v>68</v>
      </c>
      <c r="F44" s="3" t="s">
        <v>10</v>
      </c>
      <c r="G44" s="3" t="s">
        <v>623</v>
      </c>
      <c r="H44" s="3">
        <v>1993</v>
      </c>
      <c r="I44" s="13" t="s">
        <v>623</v>
      </c>
      <c r="J44" s="10">
        <f xml:space="preserve"> 6815 * 1000</f>
        <v>6815000</v>
      </c>
      <c r="K44" s="3"/>
      <c r="L44" s="3" t="s">
        <v>791</v>
      </c>
      <c r="M44" s="3" t="s">
        <v>792</v>
      </c>
      <c r="N44" s="3" t="s">
        <v>781</v>
      </c>
      <c r="O44" s="3" t="s">
        <v>782</v>
      </c>
      <c r="P44" s="3" t="s">
        <v>783</v>
      </c>
      <c r="Q44" s="3"/>
      <c r="R44" s="3" t="s">
        <v>784</v>
      </c>
      <c r="S44" s="3" t="s">
        <v>785</v>
      </c>
      <c r="T44" s="3" t="s">
        <v>786</v>
      </c>
      <c r="U44" s="3"/>
      <c r="V44" s="3"/>
      <c r="W44" s="10">
        <f>IF( J44="s.i", "s.i", IF(ISBLANK(J44),"Actualizando información",IFERROR(J44 / VLOOKUP(A44,Deflactor!$G$3:$H$64,2,0),"Revisar error" )))</f>
        <v>5471878.7731556948</v>
      </c>
      <c r="AR44" s="34">
        <f xml:space="preserve"> 6992399 * 1000</f>
        <v>6992399000</v>
      </c>
      <c r="AT44" s="46">
        <f t="shared" si="0"/>
        <v>6992399000</v>
      </c>
      <c r="AU44" s="54">
        <f xml:space="preserve"> IFERROR(ROUND(AT44 / VLOOKUP(A44,Tabla1[#All],2,0),0),"s.i")</f>
        <v>10920662</v>
      </c>
      <c r="AV44" s="33">
        <f xml:space="preserve"> IF(AU44="s.i", "s.i", IF(AND(AU44&gt;=Deflactor!$BQ$298,AU44&lt;Deflactor!$BQ$299), Deflactor!$BP$298, IF(AND(AU44&gt;=Deflactor!$BQ$299,AU44&lt;Deflactor!$BQ$300), Deflactor!$BP$299, IF(AND(AU44&gt;=Deflactor!$BQ$300,AU44&lt;Deflactor!$BQ$301), Deflactor!$BP$300, IF(AND(AU44&gt;=Deflactor!$BQ$301,AU44&lt;Deflactor!$BQ$302), Deflactor!$BP$301, IF(AND(AU44&gt;=Deflactor!$BQ$302,AU44&lt;Deflactor!$BQ$303), Deflactor!$BP$302, IF(AND(AU44&gt;=Deflactor!$BQ$303,AU44&lt;Deflactor!$BQ$304), Deflactor!$BP$303, IF(AND(AU44&gt;=Deflactor!$BQ$304,AU44&lt;Deflactor!$BQ$305), Deflactor!$BP$304, IF(AND(AU44&gt;=Deflactor!$BQ$305,AU44&lt;Deflactor!$BQ$306), Deflactor!$BP$305, IF(AND(AU44&gt;=Deflactor!$BQ$306,AU44&lt;Deflactor!$BQ$307), Deflactor!$BP$306, Deflactor!$BP$307) ) ) ) ) ) ) ) ) )</f>
        <v>5</v>
      </c>
    </row>
    <row r="45" spans="1:48" x14ac:dyDescent="0.25">
      <c r="A45" s="3">
        <v>2018</v>
      </c>
      <c r="B45" s="3" t="s">
        <v>69</v>
      </c>
      <c r="C45" s="3" t="s">
        <v>7</v>
      </c>
      <c r="D45" s="3" t="s">
        <v>20</v>
      </c>
      <c r="E45" s="3" t="s">
        <v>21</v>
      </c>
      <c r="F45" s="3" t="s">
        <v>14</v>
      </c>
      <c r="G45" s="3" t="s">
        <v>623</v>
      </c>
      <c r="H45" s="13">
        <v>2013</v>
      </c>
      <c r="I45" s="13" t="s">
        <v>623</v>
      </c>
      <c r="J45" s="10">
        <f xml:space="preserve"> 5764 * 1000000</f>
        <v>5764000000</v>
      </c>
      <c r="K45" s="3" t="s">
        <v>861</v>
      </c>
      <c r="L45" s="3" t="s">
        <v>767</v>
      </c>
      <c r="M45" s="3" t="s">
        <v>768</v>
      </c>
      <c r="N45" s="3" t="s">
        <v>769</v>
      </c>
      <c r="O45" s="3" t="s">
        <v>770</v>
      </c>
      <c r="P45" s="3" t="s">
        <v>771</v>
      </c>
      <c r="Q45" s="3"/>
      <c r="R45" s="3" t="s">
        <v>772</v>
      </c>
      <c r="S45" s="3" t="s">
        <v>773</v>
      </c>
      <c r="T45" s="3" t="s">
        <v>774</v>
      </c>
      <c r="U45" s="3"/>
      <c r="V45" s="3"/>
      <c r="W45" s="10">
        <f>IF( J45="s.i", "s.i", IF(ISBLANK(J45),"Actualizando información",IFERROR(J45 / VLOOKUP(A45,Deflactor!$G$3:$H$64,2,0),"Revisar error" )))</f>
        <v>4628013095.8869295</v>
      </c>
      <c r="AR45" s="10">
        <f xml:space="preserve"> 5616319 * 1000</f>
        <v>5616319000</v>
      </c>
      <c r="AT45" s="46">
        <f t="shared" si="0"/>
        <v>5616319000</v>
      </c>
      <c r="AU45" s="54">
        <f xml:space="preserve"> IFERROR(ROUND(AT45 / VLOOKUP(A45,Tabla1[#All],2,0),0),"s.i")</f>
        <v>8771513</v>
      </c>
      <c r="AV45" s="33">
        <f xml:space="preserve"> IF(AU45="s.i", "s.i", IF(AND(AU45&gt;=Deflactor!$BQ$298,AU45&lt;Deflactor!$BQ$299), Deflactor!$BP$298, IF(AND(AU45&gt;=Deflactor!$BQ$299,AU45&lt;Deflactor!$BQ$300), Deflactor!$BP$299, IF(AND(AU45&gt;=Deflactor!$BQ$300,AU45&lt;Deflactor!$BQ$301), Deflactor!$BP$300, IF(AND(AU45&gt;=Deflactor!$BQ$301,AU45&lt;Deflactor!$BQ$302), Deflactor!$BP$301, IF(AND(AU45&gt;=Deflactor!$BQ$302,AU45&lt;Deflactor!$BQ$303), Deflactor!$BP$302, IF(AND(AU45&gt;=Deflactor!$BQ$303,AU45&lt;Deflactor!$BQ$304), Deflactor!$BP$303, IF(AND(AU45&gt;=Deflactor!$BQ$304,AU45&lt;Deflactor!$BQ$305), Deflactor!$BP$304, IF(AND(AU45&gt;=Deflactor!$BQ$305,AU45&lt;Deflactor!$BQ$306), Deflactor!$BP$305, IF(AND(AU45&gt;=Deflactor!$BQ$306,AU45&lt;Deflactor!$BQ$307), Deflactor!$BP$306, Deflactor!$BP$307) ) ) ) ) ) ) ) ) )</f>
        <v>4</v>
      </c>
    </row>
    <row r="46" spans="1:48" x14ac:dyDescent="0.25">
      <c r="A46" s="3">
        <v>2018</v>
      </c>
      <c r="B46" s="3" t="s">
        <v>70</v>
      </c>
      <c r="C46" s="3" t="s">
        <v>7</v>
      </c>
      <c r="D46" s="3" t="s">
        <v>71</v>
      </c>
      <c r="E46" s="3" t="s">
        <v>72</v>
      </c>
      <c r="F46" s="3" t="s">
        <v>27</v>
      </c>
      <c r="G46" s="3" t="s">
        <v>623</v>
      </c>
      <c r="H46" s="13">
        <v>2000</v>
      </c>
      <c r="I46" s="13" t="s">
        <v>623</v>
      </c>
      <c r="J46" s="10">
        <f xml:space="preserve"> 61757322 * 1000</f>
        <v>61757322000</v>
      </c>
      <c r="K46" s="3" t="s">
        <v>1044</v>
      </c>
      <c r="L46" s="3" t="s">
        <v>842</v>
      </c>
      <c r="M46" s="3" t="s">
        <v>991</v>
      </c>
      <c r="N46" s="3" t="s">
        <v>992</v>
      </c>
      <c r="O46" s="3"/>
      <c r="P46" s="3"/>
      <c r="Q46" s="3"/>
      <c r="R46" s="3" t="s">
        <v>843</v>
      </c>
      <c r="S46" s="3" t="s">
        <v>844</v>
      </c>
      <c r="T46" s="3" t="s">
        <v>845</v>
      </c>
      <c r="U46" s="3"/>
      <c r="V46" s="3"/>
      <c r="W46" s="10">
        <f>IF( J46="s.i", "s.i", IF(ISBLANK(J46),"Actualizando información",IFERROR(J46 / VLOOKUP(A46,Deflactor!$G$3:$H$64,2,0),"Revisar error" )))</f>
        <v>49585998435.618668</v>
      </c>
      <c r="AR46" s="34" t="s">
        <v>2357</v>
      </c>
      <c r="AT46" s="46">
        <f>'Notas reunion'!T34</f>
        <v>54296263000</v>
      </c>
      <c r="AU46" s="54">
        <f xml:space="preserve"> IFERROR(ROUND(AT46 / VLOOKUP(A46,Tabla1[#All],2,0),0),"s.i")</f>
        <v>84799384</v>
      </c>
      <c r="AV46" s="33">
        <f xml:space="preserve"> IF(AU46="s.i", "s.i", IF(AND(AU46&gt;=Deflactor!$BQ$298,AU46&lt;Deflactor!$BQ$299), Deflactor!$BP$298, IF(AND(AU46&gt;=Deflactor!$BQ$299,AU46&lt;Deflactor!$BQ$300), Deflactor!$BP$299, IF(AND(AU46&gt;=Deflactor!$BQ$300,AU46&lt;Deflactor!$BQ$301), Deflactor!$BP$300, IF(AND(AU46&gt;=Deflactor!$BQ$301,AU46&lt;Deflactor!$BQ$302), Deflactor!$BP$301, IF(AND(AU46&gt;=Deflactor!$BQ$302,AU46&lt;Deflactor!$BQ$303), Deflactor!$BP$302, IF(AND(AU46&gt;=Deflactor!$BQ$303,AU46&lt;Deflactor!$BQ$304), Deflactor!$BP$303, IF(AND(AU46&gt;=Deflactor!$BQ$304,AU46&lt;Deflactor!$BQ$305), Deflactor!$BP$304, IF(AND(AU46&gt;=Deflactor!$BQ$305,AU46&lt;Deflactor!$BQ$306), Deflactor!$BP$305, IF(AND(AU46&gt;=Deflactor!$BQ$306,AU46&lt;Deflactor!$BQ$307), Deflactor!$BP$306, Deflactor!$BP$307) ) ) ) ) ) ) ) ) )</f>
        <v>9</v>
      </c>
    </row>
    <row r="47" spans="1:48" x14ac:dyDescent="0.25">
      <c r="A47" s="3">
        <v>2018</v>
      </c>
      <c r="B47" s="3" t="s">
        <v>73</v>
      </c>
      <c r="C47" s="3" t="s">
        <v>7</v>
      </c>
      <c r="D47" s="3" t="s">
        <v>74</v>
      </c>
      <c r="E47" s="3" t="s">
        <v>75</v>
      </c>
      <c r="F47" s="3" t="s">
        <v>30</v>
      </c>
      <c r="G47" s="3" t="s">
        <v>623</v>
      </c>
      <c r="H47" s="13">
        <v>2014</v>
      </c>
      <c r="I47" s="13" t="s">
        <v>623</v>
      </c>
      <c r="J47" s="10">
        <f xml:space="preserve"> 9599944 * 1000</f>
        <v>9599944000</v>
      </c>
      <c r="K47" s="3" t="s">
        <v>994</v>
      </c>
      <c r="L47" s="3" t="s">
        <v>993</v>
      </c>
      <c r="M47" s="3" t="s">
        <v>994</v>
      </c>
      <c r="N47" s="3" t="s">
        <v>995</v>
      </c>
      <c r="O47" s="3" t="s">
        <v>996</v>
      </c>
      <c r="P47" s="3" t="s">
        <v>997</v>
      </c>
      <c r="Q47" s="3"/>
      <c r="R47" s="3"/>
      <c r="S47" s="3"/>
      <c r="T47" s="3"/>
      <c r="U47" s="3"/>
      <c r="V47" s="3"/>
      <c r="W47" s="10">
        <f>IF( J47="s.i", "s.i", IF(ISBLANK(J47),"Actualizando información",IFERROR(J47 / VLOOKUP(A47,Deflactor!$G$3:$H$64,2,0),"Revisar error" )))</f>
        <v>7707957417.0335102</v>
      </c>
      <c r="AR47" s="34" t="s">
        <v>2357</v>
      </c>
      <c r="AT47" s="46" t="str">
        <f>'Notas reunion'!T35</f>
        <v>s.i</v>
      </c>
      <c r="AU47" s="54" t="str">
        <f xml:space="preserve"> IFERROR(ROUND(AT47 / VLOOKUP(A47,Tabla1[#All],2,0),0),"s.i")</f>
        <v>s.i</v>
      </c>
      <c r="AV47" s="33" t="str">
        <f xml:space="preserve"> IF(AU47="s.i", "s.i", IF(AND(AU47&gt;=Deflactor!$BQ$298,AU47&lt;Deflactor!$BQ$299), Deflactor!$BP$298, IF(AND(AU47&gt;=Deflactor!$BQ$299,AU47&lt;Deflactor!$BQ$300), Deflactor!$BP$299, IF(AND(AU47&gt;=Deflactor!$BQ$300,AU47&lt;Deflactor!$BQ$301), Deflactor!$BP$300, IF(AND(AU47&gt;=Deflactor!$BQ$301,AU47&lt;Deflactor!$BQ$302), Deflactor!$BP$301, IF(AND(AU47&gt;=Deflactor!$BQ$302,AU47&lt;Deflactor!$BQ$303), Deflactor!$BP$302, IF(AND(AU47&gt;=Deflactor!$BQ$303,AU47&lt;Deflactor!$BQ$304), Deflactor!$BP$303, IF(AND(AU47&gt;=Deflactor!$BQ$304,AU47&lt;Deflactor!$BQ$305), Deflactor!$BP$304, IF(AND(AU47&gt;=Deflactor!$BQ$305,AU47&lt;Deflactor!$BQ$306), Deflactor!$BP$305, IF(AND(AU47&gt;=Deflactor!$BQ$306,AU47&lt;Deflactor!$BQ$307), Deflactor!$BP$306, Deflactor!$BP$307) ) ) ) ) ) ) ) ) )</f>
        <v>s.i</v>
      </c>
    </row>
    <row r="48" spans="1:48" x14ac:dyDescent="0.25">
      <c r="A48" s="3">
        <v>2018</v>
      </c>
      <c r="B48" s="3" t="s">
        <v>76</v>
      </c>
      <c r="C48" s="3" t="s">
        <v>7</v>
      </c>
      <c r="D48" s="3" t="s">
        <v>25</v>
      </c>
      <c r="E48" s="3" t="s">
        <v>26</v>
      </c>
      <c r="F48" s="3" t="s">
        <v>27</v>
      </c>
      <c r="G48" s="3" t="s">
        <v>623</v>
      </c>
      <c r="H48" s="13">
        <v>2014</v>
      </c>
      <c r="I48" s="13" t="s">
        <v>623</v>
      </c>
      <c r="J48" s="10">
        <f xml:space="preserve"> 13140 * 1000000</f>
        <v>13140000000</v>
      </c>
      <c r="K48" s="3" t="s">
        <v>1662</v>
      </c>
      <c r="L48" s="3" t="s">
        <v>775</v>
      </c>
      <c r="M48" s="3" t="s">
        <v>776</v>
      </c>
      <c r="N48" s="3" t="s">
        <v>777</v>
      </c>
      <c r="O48" s="3"/>
      <c r="P48" s="3"/>
      <c r="Q48" s="3"/>
      <c r="R48" s="3" t="s">
        <v>778</v>
      </c>
      <c r="S48" s="3" t="s">
        <v>779</v>
      </c>
      <c r="T48" s="3" t="s">
        <v>780</v>
      </c>
      <c r="U48" s="3"/>
      <c r="V48" s="3"/>
      <c r="W48" s="10">
        <f>IF( J48="s.i", "s.i", IF(ISBLANK(J48),"Actualizando información",IFERROR(J48 / VLOOKUP(A48,Deflactor!$G$3:$H$64,2,0),"Revisar error" )))</f>
        <v>10550328258.146124</v>
      </c>
      <c r="AR48" s="34">
        <f xml:space="preserve"> 3591821 * 1000</f>
        <v>3591821000</v>
      </c>
      <c r="AT48" s="46">
        <f t="shared" si="0"/>
        <v>3591821000</v>
      </c>
      <c r="AU48" s="54">
        <f xml:space="preserve"> IFERROR(ROUND(AT48 / VLOOKUP(A48,Tabla1[#All],2,0),0),"s.i")</f>
        <v>5609672</v>
      </c>
      <c r="AV48" s="33">
        <f xml:space="preserve"> IF(AU48="s.i", "s.i", IF(AND(AU48&gt;=Deflactor!$BQ$298,AU48&lt;Deflactor!$BQ$299), Deflactor!$BP$298, IF(AND(AU48&gt;=Deflactor!$BQ$299,AU48&lt;Deflactor!$BQ$300), Deflactor!$BP$299, IF(AND(AU48&gt;=Deflactor!$BQ$300,AU48&lt;Deflactor!$BQ$301), Deflactor!$BP$300, IF(AND(AU48&gt;=Deflactor!$BQ$301,AU48&lt;Deflactor!$BQ$302), Deflactor!$BP$301, IF(AND(AU48&gt;=Deflactor!$BQ$302,AU48&lt;Deflactor!$BQ$303), Deflactor!$BP$302, IF(AND(AU48&gt;=Deflactor!$BQ$303,AU48&lt;Deflactor!$BQ$304), Deflactor!$BP$303, IF(AND(AU48&gt;=Deflactor!$BQ$304,AU48&lt;Deflactor!$BQ$305), Deflactor!$BP$304, IF(AND(AU48&gt;=Deflactor!$BQ$305,AU48&lt;Deflactor!$BQ$306), Deflactor!$BP$305, IF(AND(AU48&gt;=Deflactor!$BQ$306,AU48&lt;Deflactor!$BQ$307), Deflactor!$BP$306, Deflactor!$BP$307) ) ) ) ) ) ) ) ) )</f>
        <v>3</v>
      </c>
    </row>
    <row r="49" spans="1:48" x14ac:dyDescent="0.25">
      <c r="A49" s="3">
        <v>2018</v>
      </c>
      <c r="B49" s="3" t="s">
        <v>77</v>
      </c>
      <c r="C49" s="3" t="s">
        <v>7</v>
      </c>
      <c r="D49" s="3" t="s">
        <v>25</v>
      </c>
      <c r="E49" s="3" t="s">
        <v>26</v>
      </c>
      <c r="F49" s="3" t="s">
        <v>10</v>
      </c>
      <c r="G49" s="3" t="s">
        <v>623</v>
      </c>
      <c r="H49" s="13">
        <v>2014</v>
      </c>
      <c r="I49" s="13" t="s">
        <v>623</v>
      </c>
      <c r="J49" s="10">
        <f xml:space="preserve"> 13140 * 1000000</f>
        <v>13140000000</v>
      </c>
      <c r="K49" s="3" t="s">
        <v>1662</v>
      </c>
      <c r="L49" s="3" t="s">
        <v>775</v>
      </c>
      <c r="M49" s="3" t="s">
        <v>776</v>
      </c>
      <c r="N49" s="3" t="s">
        <v>777</v>
      </c>
      <c r="O49" s="3"/>
      <c r="P49" s="3"/>
      <c r="Q49" s="3"/>
      <c r="R49" s="3" t="s">
        <v>778</v>
      </c>
      <c r="S49" s="3" t="s">
        <v>779</v>
      </c>
      <c r="T49" s="3" t="s">
        <v>780</v>
      </c>
      <c r="U49" s="3"/>
      <c r="V49" s="3"/>
      <c r="W49" s="10">
        <f>IF( J49="s.i", "s.i", IF(ISBLANK(J49),"Actualizando información",IFERROR(J49 / VLOOKUP(A49,Deflactor!$G$3:$H$64,2,0),"Revisar error" )))</f>
        <v>10550328258.146124</v>
      </c>
      <c r="AR49" s="10">
        <f xml:space="preserve"> 12766518 * 1000</f>
        <v>12766518000</v>
      </c>
      <c r="AT49" s="46">
        <f t="shared" si="0"/>
        <v>12766518000</v>
      </c>
      <c r="AU49" s="54">
        <f xml:space="preserve"> IFERROR(ROUND(AT49 / VLOOKUP(A49,Tabla1[#All],2,0),0),"s.i")</f>
        <v>19938626</v>
      </c>
      <c r="AV49" s="33">
        <f xml:space="preserve"> IF(AU49="s.i", "s.i", IF(AND(AU49&gt;=Deflactor!$BQ$298,AU49&lt;Deflactor!$BQ$299), Deflactor!$BP$298, IF(AND(AU49&gt;=Deflactor!$BQ$299,AU49&lt;Deflactor!$BQ$300), Deflactor!$BP$299, IF(AND(AU49&gt;=Deflactor!$BQ$300,AU49&lt;Deflactor!$BQ$301), Deflactor!$BP$300, IF(AND(AU49&gt;=Deflactor!$BQ$301,AU49&lt;Deflactor!$BQ$302), Deflactor!$BP$301, IF(AND(AU49&gt;=Deflactor!$BQ$302,AU49&lt;Deflactor!$BQ$303), Deflactor!$BP$302, IF(AND(AU49&gt;=Deflactor!$BQ$303,AU49&lt;Deflactor!$BQ$304), Deflactor!$BP$303, IF(AND(AU49&gt;=Deflactor!$BQ$304,AU49&lt;Deflactor!$BQ$305), Deflactor!$BP$304, IF(AND(AU49&gt;=Deflactor!$BQ$305,AU49&lt;Deflactor!$BQ$306), Deflactor!$BP$305, IF(AND(AU49&gt;=Deflactor!$BQ$306,AU49&lt;Deflactor!$BQ$307), Deflactor!$BP$306, Deflactor!$BP$307) ) ) ) ) ) ) ) ) )</f>
        <v>6</v>
      </c>
    </row>
    <row r="50" spans="1:48" x14ac:dyDescent="0.25">
      <c r="A50" s="3">
        <v>2018</v>
      </c>
      <c r="B50" s="3" t="s">
        <v>78</v>
      </c>
      <c r="C50" s="3" t="s">
        <v>7</v>
      </c>
      <c r="D50" s="3" t="s">
        <v>25</v>
      </c>
      <c r="E50" s="3" t="s">
        <v>26</v>
      </c>
      <c r="F50" s="3" t="s">
        <v>10</v>
      </c>
      <c r="G50" s="3" t="s">
        <v>623</v>
      </c>
      <c r="H50" s="13">
        <v>2014</v>
      </c>
      <c r="I50" s="13" t="s">
        <v>623</v>
      </c>
      <c r="J50" s="10">
        <f xml:space="preserve"> 13140 * 1000000</f>
        <v>13140000000</v>
      </c>
      <c r="K50" s="3" t="s">
        <v>1662</v>
      </c>
      <c r="L50" s="3" t="s">
        <v>775</v>
      </c>
      <c r="M50" s="3" t="s">
        <v>776</v>
      </c>
      <c r="N50" s="3" t="s">
        <v>777</v>
      </c>
      <c r="O50" s="3"/>
      <c r="P50" s="3"/>
      <c r="Q50" s="3"/>
      <c r="R50" s="3" t="s">
        <v>778</v>
      </c>
      <c r="S50" s="3" t="s">
        <v>779</v>
      </c>
      <c r="T50" s="3" t="s">
        <v>780</v>
      </c>
      <c r="U50" s="3"/>
      <c r="V50" s="3"/>
      <c r="W50" s="10">
        <f>IF( J50="s.i", "s.i", IF(ISBLANK(J50),"Actualizando información",IFERROR(J50 / VLOOKUP(A50,Deflactor!$G$3:$H$64,2,0),"Revisar error" )))</f>
        <v>10550328258.146124</v>
      </c>
      <c r="AR50" s="34">
        <f xml:space="preserve"> 4951278 * 1000</f>
        <v>4951278000</v>
      </c>
      <c r="AT50" s="46">
        <f t="shared" si="0"/>
        <v>4951278000</v>
      </c>
      <c r="AU50" s="54">
        <f xml:space="preserve"> IFERROR(ROUND(AT50 / VLOOKUP(A50,Tabla1[#All],2,0),0),"s.i")</f>
        <v>7732859</v>
      </c>
      <c r="AV50" s="33">
        <f xml:space="preserve"> IF(AU50="s.i", "s.i", IF(AND(AU50&gt;=Deflactor!$BQ$298,AU50&lt;Deflactor!$BQ$299), Deflactor!$BP$298, IF(AND(AU50&gt;=Deflactor!$BQ$299,AU50&lt;Deflactor!$BQ$300), Deflactor!$BP$299, IF(AND(AU50&gt;=Deflactor!$BQ$300,AU50&lt;Deflactor!$BQ$301), Deflactor!$BP$300, IF(AND(AU50&gt;=Deflactor!$BQ$301,AU50&lt;Deflactor!$BQ$302), Deflactor!$BP$301, IF(AND(AU50&gt;=Deflactor!$BQ$302,AU50&lt;Deflactor!$BQ$303), Deflactor!$BP$302, IF(AND(AU50&gt;=Deflactor!$BQ$303,AU50&lt;Deflactor!$BQ$304), Deflactor!$BP$303, IF(AND(AU50&gt;=Deflactor!$BQ$304,AU50&lt;Deflactor!$BQ$305), Deflactor!$BP$304, IF(AND(AU50&gt;=Deflactor!$BQ$305,AU50&lt;Deflactor!$BQ$306), Deflactor!$BP$305, IF(AND(AU50&gt;=Deflactor!$BQ$306,AU50&lt;Deflactor!$BQ$307), Deflactor!$BP$306, Deflactor!$BP$307) ) ) ) ) ) ) ) ) )</f>
        <v>4</v>
      </c>
    </row>
    <row r="51" spans="1:48" x14ac:dyDescent="0.25">
      <c r="A51" s="3">
        <v>2018</v>
      </c>
      <c r="B51" s="3" t="s">
        <v>79</v>
      </c>
      <c r="C51" s="3" t="s">
        <v>7</v>
      </c>
      <c r="D51" s="3" t="s">
        <v>36</v>
      </c>
      <c r="E51" s="3" t="s">
        <v>37</v>
      </c>
      <c r="F51" s="3" t="s">
        <v>27</v>
      </c>
      <c r="G51" s="3" t="s">
        <v>623</v>
      </c>
      <c r="H51" s="3">
        <v>2004</v>
      </c>
      <c r="I51" s="13" t="s">
        <v>623</v>
      </c>
      <c r="J51" s="10">
        <f xml:space="preserve"> 40497491 * 1000</f>
        <v>40497491000</v>
      </c>
      <c r="K51" s="3" t="s">
        <v>1048</v>
      </c>
      <c r="L51" s="3" t="s">
        <v>790</v>
      </c>
      <c r="M51" s="3" t="s">
        <v>788</v>
      </c>
      <c r="N51" s="3" t="s">
        <v>787</v>
      </c>
      <c r="O51" s="3" t="s">
        <v>789</v>
      </c>
      <c r="P51" s="3"/>
      <c r="Q51" s="3"/>
      <c r="R51" s="3" t="s">
        <v>778</v>
      </c>
      <c r="S51" s="3" t="s">
        <v>779</v>
      </c>
      <c r="T51" s="3" t="s">
        <v>780</v>
      </c>
      <c r="U51" s="3"/>
      <c r="V51" s="3"/>
      <c r="W51" s="10">
        <f>IF( J51="s.i", "s.i", IF(ISBLANK(J51),"Actualizando información",IFERROR(J51 / VLOOKUP(A51,Deflactor!$G$3:$H$64,2,0),"Revisar error" )))</f>
        <v>32516120523.692413</v>
      </c>
      <c r="AR51" s="10">
        <f xml:space="preserve"> 40465981 * 1000</f>
        <v>40465981000</v>
      </c>
      <c r="AT51" s="46">
        <f t="shared" si="0"/>
        <v>40465981000</v>
      </c>
      <c r="AU51" s="54">
        <f xml:space="preserve"> IFERROR(ROUND(AT51 / VLOOKUP(A51,Tabla1[#All],2,0),0),"s.i")</f>
        <v>63199382</v>
      </c>
      <c r="AV51" s="33">
        <f xml:space="preserve"> IF(AU51="s.i", "s.i", IF(AND(AU51&gt;=Deflactor!$BQ$298,AU51&lt;Deflactor!$BQ$299), Deflactor!$BP$298, IF(AND(AU51&gt;=Deflactor!$BQ$299,AU51&lt;Deflactor!$BQ$300), Deflactor!$BP$299, IF(AND(AU51&gt;=Deflactor!$BQ$300,AU51&lt;Deflactor!$BQ$301), Deflactor!$BP$300, IF(AND(AU51&gt;=Deflactor!$BQ$301,AU51&lt;Deflactor!$BQ$302), Deflactor!$BP$301, IF(AND(AU51&gt;=Deflactor!$BQ$302,AU51&lt;Deflactor!$BQ$303), Deflactor!$BP$302, IF(AND(AU51&gt;=Deflactor!$BQ$303,AU51&lt;Deflactor!$BQ$304), Deflactor!$BP$303, IF(AND(AU51&gt;=Deflactor!$BQ$304,AU51&lt;Deflactor!$BQ$305), Deflactor!$BP$304, IF(AND(AU51&gt;=Deflactor!$BQ$305,AU51&lt;Deflactor!$BQ$306), Deflactor!$BP$305, IF(AND(AU51&gt;=Deflactor!$BQ$306,AU51&lt;Deflactor!$BQ$307), Deflactor!$BP$306, Deflactor!$BP$307) ) ) ) ) ) ) ) ) )</f>
        <v>9</v>
      </c>
    </row>
    <row r="52" spans="1:48" x14ac:dyDescent="0.25">
      <c r="A52" s="3">
        <v>2018</v>
      </c>
      <c r="B52" s="3" t="s">
        <v>80</v>
      </c>
      <c r="C52" s="3" t="s">
        <v>7</v>
      </c>
      <c r="D52" s="3" t="s">
        <v>36</v>
      </c>
      <c r="E52" s="3" t="s">
        <v>81</v>
      </c>
      <c r="F52" s="3" t="s">
        <v>10</v>
      </c>
      <c r="G52" s="3" t="s">
        <v>623</v>
      </c>
      <c r="H52" s="13">
        <v>2009</v>
      </c>
      <c r="I52" s="13" t="s">
        <v>623</v>
      </c>
      <c r="J52" s="10">
        <f xml:space="preserve"> 1263672 * 1000</f>
        <v>1263672000</v>
      </c>
      <c r="K52" s="3" t="s">
        <v>763</v>
      </c>
      <c r="L52" s="3" t="s">
        <v>793</v>
      </c>
      <c r="M52" s="3" t="s">
        <v>794</v>
      </c>
      <c r="N52" s="3" t="s">
        <v>795</v>
      </c>
      <c r="O52" s="3" t="s">
        <v>796</v>
      </c>
      <c r="P52" s="3"/>
      <c r="Q52" s="3"/>
      <c r="R52" s="3" t="s">
        <v>797</v>
      </c>
      <c r="S52" s="3" t="s">
        <v>798</v>
      </c>
      <c r="T52" s="3"/>
      <c r="U52" s="3"/>
      <c r="V52" s="3"/>
      <c r="W52" s="10">
        <f>IF( J52="s.i", "s.i", IF(ISBLANK(J52),"Actualizando información",IFERROR(J52 / VLOOKUP(A52,Deflactor!$G$3:$H$64,2,0),"Revisar error" )))</f>
        <v>1014623623.3354664</v>
      </c>
      <c r="AR52" s="34" t="s">
        <v>2357</v>
      </c>
      <c r="AT52" s="46">
        <f>'Notas reunion'!T36</f>
        <v>1263672000</v>
      </c>
      <c r="AU52" s="54">
        <f xml:space="preserve"> IFERROR(ROUND(AT52 / VLOOKUP(A52,Tabla1[#All],2,0),0),"s.i")</f>
        <v>1973591</v>
      </c>
      <c r="AV52" s="33">
        <f xml:space="preserve"> IF(AU52="s.i", "s.i", IF(AND(AU52&gt;=Deflactor!$BQ$298,AU52&lt;Deflactor!$BQ$299), Deflactor!$BP$298, IF(AND(AU52&gt;=Deflactor!$BQ$299,AU52&lt;Deflactor!$BQ$300), Deflactor!$BP$299, IF(AND(AU52&gt;=Deflactor!$BQ$300,AU52&lt;Deflactor!$BQ$301), Deflactor!$BP$300, IF(AND(AU52&gt;=Deflactor!$BQ$301,AU52&lt;Deflactor!$BQ$302), Deflactor!$BP$301, IF(AND(AU52&gt;=Deflactor!$BQ$302,AU52&lt;Deflactor!$BQ$303), Deflactor!$BP$302, IF(AND(AU52&gt;=Deflactor!$BQ$303,AU52&lt;Deflactor!$BQ$304), Deflactor!$BP$303, IF(AND(AU52&gt;=Deflactor!$BQ$304,AU52&lt;Deflactor!$BQ$305), Deflactor!$BP$304, IF(AND(AU52&gt;=Deflactor!$BQ$305,AU52&lt;Deflactor!$BQ$306), Deflactor!$BP$305, IF(AND(AU52&gt;=Deflactor!$BQ$306,AU52&lt;Deflactor!$BQ$307), Deflactor!$BP$306, Deflactor!$BP$307) ) ) ) ) ) ) ) ) )</f>
        <v>1</v>
      </c>
    </row>
    <row r="53" spans="1:48" x14ac:dyDescent="0.25">
      <c r="A53" s="3">
        <v>2018</v>
      </c>
      <c r="B53" s="3" t="s">
        <v>82</v>
      </c>
      <c r="C53" s="3" t="s">
        <v>7</v>
      </c>
      <c r="D53" s="3" t="s">
        <v>36</v>
      </c>
      <c r="E53" s="3" t="s">
        <v>81</v>
      </c>
      <c r="F53" s="3" t="s">
        <v>14</v>
      </c>
      <c r="G53" s="3" t="s">
        <v>623</v>
      </c>
      <c r="H53" s="13">
        <v>2009</v>
      </c>
      <c r="I53" s="13" t="s">
        <v>623</v>
      </c>
      <c r="J53" s="10">
        <f xml:space="preserve"> 4983191 * 1000</f>
        <v>4983191000</v>
      </c>
      <c r="K53" s="3" t="s">
        <v>1665</v>
      </c>
      <c r="L53" s="3" t="s">
        <v>799</v>
      </c>
      <c r="M53" s="3" t="s">
        <v>800</v>
      </c>
      <c r="N53" s="3" t="s">
        <v>801</v>
      </c>
      <c r="O53" s="3" t="s">
        <v>802</v>
      </c>
      <c r="P53" s="3" t="s">
        <v>804</v>
      </c>
      <c r="Q53" s="3"/>
      <c r="R53" s="3" t="s">
        <v>803</v>
      </c>
      <c r="S53" s="3"/>
      <c r="T53" s="3"/>
      <c r="U53" s="3"/>
      <c r="V53" s="3"/>
      <c r="W53" s="10">
        <f>IF( J53="s.i", "s.i", IF(ISBLANK(J53),"Actualizando información",IFERROR(J53 / VLOOKUP(A53,Deflactor!$G$3:$H$64,2,0),"Revisar error" )))</f>
        <v>4001088342.6970654</v>
      </c>
      <c r="AR53" s="10">
        <f xml:space="preserve"> 4983191 * 1000</f>
        <v>4983191000</v>
      </c>
      <c r="AT53" s="46">
        <f t="shared" si="0"/>
        <v>4983191000</v>
      </c>
      <c r="AU53" s="54">
        <f xml:space="preserve"> IFERROR(ROUND(AT53 / VLOOKUP(A53,Tabla1[#All],2,0),0),"s.i")</f>
        <v>7782700</v>
      </c>
      <c r="AV53" s="33">
        <f xml:space="preserve"> IF(AU53="s.i", "s.i", IF(AND(AU53&gt;=Deflactor!$BQ$298,AU53&lt;Deflactor!$BQ$299), Deflactor!$BP$298, IF(AND(AU53&gt;=Deflactor!$BQ$299,AU53&lt;Deflactor!$BQ$300), Deflactor!$BP$299, IF(AND(AU53&gt;=Deflactor!$BQ$300,AU53&lt;Deflactor!$BQ$301), Deflactor!$BP$300, IF(AND(AU53&gt;=Deflactor!$BQ$301,AU53&lt;Deflactor!$BQ$302), Deflactor!$BP$301, IF(AND(AU53&gt;=Deflactor!$BQ$302,AU53&lt;Deflactor!$BQ$303), Deflactor!$BP$302, IF(AND(AU53&gt;=Deflactor!$BQ$303,AU53&lt;Deflactor!$BQ$304), Deflactor!$BP$303, IF(AND(AU53&gt;=Deflactor!$BQ$304,AU53&lt;Deflactor!$BQ$305), Deflactor!$BP$304, IF(AND(AU53&gt;=Deflactor!$BQ$305,AU53&lt;Deflactor!$BQ$306), Deflactor!$BP$305, IF(AND(AU53&gt;=Deflactor!$BQ$306,AU53&lt;Deflactor!$BQ$307), Deflactor!$BP$306, Deflactor!$BP$307) ) ) ) ) ) ) ) ) )</f>
        <v>4</v>
      </c>
    </row>
    <row r="54" spans="1:48" x14ac:dyDescent="0.25">
      <c r="A54" s="3">
        <v>2018</v>
      </c>
      <c r="B54" s="3" t="s">
        <v>83</v>
      </c>
      <c r="C54" s="3" t="s">
        <v>7</v>
      </c>
      <c r="D54" s="3" t="s">
        <v>36</v>
      </c>
      <c r="E54" s="3" t="s">
        <v>81</v>
      </c>
      <c r="F54" s="3" t="s">
        <v>27</v>
      </c>
      <c r="G54" s="3" t="s">
        <v>623</v>
      </c>
      <c r="H54" s="13">
        <v>2009</v>
      </c>
      <c r="I54" s="13" t="s">
        <v>623</v>
      </c>
      <c r="J54" s="10">
        <f xml:space="preserve"> 10259 * 1000000</f>
        <v>10259000000</v>
      </c>
      <c r="K54" s="3" t="s">
        <v>1046</v>
      </c>
      <c r="L54" s="3" t="s">
        <v>805</v>
      </c>
      <c r="M54" s="3" t="s">
        <v>808</v>
      </c>
      <c r="N54" s="3" t="s">
        <v>806</v>
      </c>
      <c r="O54" s="3" t="s">
        <v>807</v>
      </c>
      <c r="P54" s="3"/>
      <c r="Q54" s="3"/>
      <c r="R54" s="11" t="s">
        <v>809</v>
      </c>
      <c r="S54" s="3" t="s">
        <v>810</v>
      </c>
      <c r="T54" s="3" t="s">
        <v>811</v>
      </c>
      <c r="U54" s="3" t="s">
        <v>1606</v>
      </c>
      <c r="V54" s="3"/>
      <c r="W54" s="10">
        <f>IF( J54="s.i", "s.i", IF(ISBLANK(J54),"Actualizando información",IFERROR(J54 / VLOOKUP(A54,Deflactor!$G$3:$H$64,2,0),"Revisar error" )))</f>
        <v>8237124627.117281</v>
      </c>
      <c r="AR54" s="10">
        <f xml:space="preserve"> 10050435 * 1000</f>
        <v>10050435000</v>
      </c>
      <c r="AT54" s="46">
        <f t="shared" si="0"/>
        <v>10050435000</v>
      </c>
      <c r="AU54" s="54">
        <f xml:space="preserve"> IFERROR(ROUND(AT54 / VLOOKUP(A54,Tabla1[#All],2,0),0),"s.i")</f>
        <v>15696673</v>
      </c>
      <c r="AV54" s="33">
        <f xml:space="preserve"> IF(AU54="s.i", "s.i", IF(AND(AU54&gt;=Deflactor!$BQ$298,AU54&lt;Deflactor!$BQ$299), Deflactor!$BP$298, IF(AND(AU54&gt;=Deflactor!$BQ$299,AU54&lt;Deflactor!$BQ$300), Deflactor!$BP$299, IF(AND(AU54&gt;=Deflactor!$BQ$300,AU54&lt;Deflactor!$BQ$301), Deflactor!$BP$300, IF(AND(AU54&gt;=Deflactor!$BQ$301,AU54&lt;Deflactor!$BQ$302), Deflactor!$BP$301, IF(AND(AU54&gt;=Deflactor!$BQ$302,AU54&lt;Deflactor!$BQ$303), Deflactor!$BP$302, IF(AND(AU54&gt;=Deflactor!$BQ$303,AU54&lt;Deflactor!$BQ$304), Deflactor!$BP$303, IF(AND(AU54&gt;=Deflactor!$BQ$304,AU54&lt;Deflactor!$BQ$305), Deflactor!$BP$304, IF(AND(AU54&gt;=Deflactor!$BQ$305,AU54&lt;Deflactor!$BQ$306), Deflactor!$BP$305, IF(AND(AU54&gt;=Deflactor!$BQ$306,AU54&lt;Deflactor!$BQ$307), Deflactor!$BP$306, Deflactor!$BP$307) ) ) ) ) ) ) ) ) )</f>
        <v>6</v>
      </c>
    </row>
    <row r="55" spans="1:48" x14ac:dyDescent="0.25">
      <c r="A55" s="3">
        <v>2018</v>
      </c>
      <c r="B55" s="3" t="s">
        <v>84</v>
      </c>
      <c r="C55" s="3" t="s">
        <v>7</v>
      </c>
      <c r="D55" s="3" t="s">
        <v>36</v>
      </c>
      <c r="E55" s="3" t="s">
        <v>81</v>
      </c>
      <c r="F55" s="3" t="s">
        <v>10</v>
      </c>
      <c r="G55" s="3" t="s">
        <v>623</v>
      </c>
      <c r="H55" s="13">
        <v>2015</v>
      </c>
      <c r="I55" s="13" t="s">
        <v>623</v>
      </c>
      <c r="J55" s="10">
        <f xml:space="preserve"> 34248 * 1000000</f>
        <v>34248000000</v>
      </c>
      <c r="K55" s="3" t="s">
        <v>1046</v>
      </c>
      <c r="L55" s="3" t="s">
        <v>805</v>
      </c>
      <c r="M55" s="3" t="s">
        <v>808</v>
      </c>
      <c r="N55" s="3" t="s">
        <v>806</v>
      </c>
      <c r="O55" s="3" t="s">
        <v>807</v>
      </c>
      <c r="P55" s="3"/>
      <c r="Q55" s="3"/>
      <c r="R55" s="11" t="s">
        <v>809</v>
      </c>
      <c r="S55" s="3" t="s">
        <v>810</v>
      </c>
      <c r="T55" s="3" t="s">
        <v>811</v>
      </c>
      <c r="U55" s="3" t="s">
        <v>1606</v>
      </c>
      <c r="V55" s="3"/>
      <c r="W55" s="10">
        <f>IF( J55="s.i", "s.i", IF(ISBLANK(J55),"Actualizando información",IFERROR(J55 / VLOOKUP(A55,Deflactor!$G$3:$H$64,2,0),"Revisar error" )))</f>
        <v>27498298492.008251</v>
      </c>
      <c r="AR55" s="10">
        <f xml:space="preserve"> 33552627 * 1000</f>
        <v>33552627000</v>
      </c>
      <c r="AT55" s="46">
        <f t="shared" si="0"/>
        <v>33552627000</v>
      </c>
      <c r="AU55" s="54">
        <f xml:space="preserve"> IFERROR(ROUND(AT55 / VLOOKUP(A55,Tabla1[#All],2,0),0),"s.i")</f>
        <v>52402172</v>
      </c>
      <c r="AV55" s="33">
        <f xml:space="preserve"> IF(AU55="s.i", "s.i", IF(AND(AU55&gt;=Deflactor!$BQ$298,AU55&lt;Deflactor!$BQ$299), Deflactor!$BP$298, IF(AND(AU55&gt;=Deflactor!$BQ$299,AU55&lt;Deflactor!$BQ$300), Deflactor!$BP$299, IF(AND(AU55&gt;=Deflactor!$BQ$300,AU55&lt;Deflactor!$BQ$301), Deflactor!$BP$300, IF(AND(AU55&gt;=Deflactor!$BQ$301,AU55&lt;Deflactor!$BQ$302), Deflactor!$BP$301, IF(AND(AU55&gt;=Deflactor!$BQ$302,AU55&lt;Deflactor!$BQ$303), Deflactor!$BP$302, IF(AND(AU55&gt;=Deflactor!$BQ$303,AU55&lt;Deflactor!$BQ$304), Deflactor!$BP$303, IF(AND(AU55&gt;=Deflactor!$BQ$304,AU55&lt;Deflactor!$BQ$305), Deflactor!$BP$304, IF(AND(AU55&gt;=Deflactor!$BQ$305,AU55&lt;Deflactor!$BQ$306), Deflactor!$BP$305, IF(AND(AU55&gt;=Deflactor!$BQ$306,AU55&lt;Deflactor!$BQ$307), Deflactor!$BP$306, Deflactor!$BP$307) ) ) ) ) ) ) ) ) )</f>
        <v>9</v>
      </c>
    </row>
    <row r="56" spans="1:48" x14ac:dyDescent="0.25">
      <c r="A56" s="3">
        <v>2018</v>
      </c>
      <c r="B56" s="3" t="s">
        <v>85</v>
      </c>
      <c r="C56" s="3" t="s">
        <v>7</v>
      </c>
      <c r="D56" s="3" t="s">
        <v>40</v>
      </c>
      <c r="E56" s="3" t="s">
        <v>41</v>
      </c>
      <c r="F56" s="3" t="s">
        <v>10</v>
      </c>
      <c r="G56" s="3" t="s">
        <v>623</v>
      </c>
      <c r="H56" s="13">
        <v>2012</v>
      </c>
      <c r="I56" s="13" t="s">
        <v>623</v>
      </c>
      <c r="J56" s="10">
        <f xml:space="preserve"> 39178854 * 1000</f>
        <v>39178854000</v>
      </c>
      <c r="K56" s="3" t="s">
        <v>2283</v>
      </c>
      <c r="L56" s="3" t="s">
        <v>812</v>
      </c>
      <c r="M56" s="3" t="s">
        <v>813</v>
      </c>
      <c r="N56" s="3" t="s">
        <v>814</v>
      </c>
      <c r="O56" s="3" t="s">
        <v>815</v>
      </c>
      <c r="P56" s="3" t="s">
        <v>816</v>
      </c>
      <c r="Q56" s="3"/>
      <c r="R56" s="3" t="s">
        <v>817</v>
      </c>
      <c r="S56" s="3" t="s">
        <v>818</v>
      </c>
      <c r="T56" s="3" t="s">
        <v>819</v>
      </c>
      <c r="U56" s="3"/>
      <c r="V56" s="3"/>
      <c r="W56" s="10">
        <f>IF( J56="s.i", "s.i", IF(ISBLANK(J56),"Actualizando información",IFERROR(J56 / VLOOKUP(A56,Deflactor!$G$3:$H$64,2,0),"Revisar error" )))</f>
        <v>31457364572.144691</v>
      </c>
      <c r="AR56" s="10">
        <f xml:space="preserve"> 39954549 * 1000</f>
        <v>39954549000</v>
      </c>
      <c r="AT56" s="46">
        <f t="shared" si="0"/>
        <v>39954549000</v>
      </c>
      <c r="AU56" s="54">
        <f xml:space="preserve"> IFERROR(ROUND(AT56 / VLOOKUP(A56,Tabla1[#All],2,0),0),"s.i")</f>
        <v>62400632</v>
      </c>
      <c r="AV56" s="33">
        <f xml:space="preserve"> IF(AU56="s.i", "s.i", IF(AND(AU56&gt;=Deflactor!$BQ$298,AU56&lt;Deflactor!$BQ$299), Deflactor!$BP$298, IF(AND(AU56&gt;=Deflactor!$BQ$299,AU56&lt;Deflactor!$BQ$300), Deflactor!$BP$299, IF(AND(AU56&gt;=Deflactor!$BQ$300,AU56&lt;Deflactor!$BQ$301), Deflactor!$BP$300, IF(AND(AU56&gt;=Deflactor!$BQ$301,AU56&lt;Deflactor!$BQ$302), Deflactor!$BP$301, IF(AND(AU56&gt;=Deflactor!$BQ$302,AU56&lt;Deflactor!$BQ$303), Deflactor!$BP$302, IF(AND(AU56&gt;=Deflactor!$BQ$303,AU56&lt;Deflactor!$BQ$304), Deflactor!$BP$303, IF(AND(AU56&gt;=Deflactor!$BQ$304,AU56&lt;Deflactor!$BQ$305), Deflactor!$BP$304, IF(AND(AU56&gt;=Deflactor!$BQ$305,AU56&lt;Deflactor!$BQ$306), Deflactor!$BP$305, IF(AND(AU56&gt;=Deflactor!$BQ$306,AU56&lt;Deflactor!$BQ$307), Deflactor!$BP$306, Deflactor!$BP$307) ) ) ) ) ) ) ) ) )</f>
        <v>9</v>
      </c>
    </row>
    <row r="57" spans="1:48" x14ac:dyDescent="0.25">
      <c r="A57" s="3">
        <v>2017</v>
      </c>
      <c r="B57" s="3" t="s">
        <v>86</v>
      </c>
      <c r="C57" s="3" t="s">
        <v>7</v>
      </c>
      <c r="D57" s="3" t="s">
        <v>87</v>
      </c>
      <c r="E57" s="3" t="s">
        <v>88</v>
      </c>
      <c r="F57" s="3" t="s">
        <v>89</v>
      </c>
      <c r="G57" s="3" t="s">
        <v>723</v>
      </c>
      <c r="H57" s="13">
        <v>2013</v>
      </c>
      <c r="I57" s="13"/>
      <c r="J57" s="10">
        <f xml:space="preserve"> 13058655 * 1000000</f>
        <v>13058655000000</v>
      </c>
      <c r="K57" s="3" t="s">
        <v>2513</v>
      </c>
      <c r="L57" s="3" t="s">
        <v>1016</v>
      </c>
      <c r="M57" s="3" t="s">
        <v>1018</v>
      </c>
      <c r="N57" s="3" t="s">
        <v>1017</v>
      </c>
      <c r="O57" s="3" t="s">
        <v>1014</v>
      </c>
      <c r="P57" s="3" t="s">
        <v>1015</v>
      </c>
      <c r="Q57" s="3"/>
      <c r="R57" s="11" t="s">
        <v>1012</v>
      </c>
      <c r="S57" s="11" t="s">
        <v>1013</v>
      </c>
      <c r="T57" s="3"/>
      <c r="U57" s="3" t="s">
        <v>1198</v>
      </c>
      <c r="V57" s="3"/>
      <c r="W57" s="10">
        <f>IF( J57="s.i", "s.i", IF(ISBLANK(J57),"Actualizando información",IFERROR(J57 / VLOOKUP(A57,Deflactor!$G$3:$H$64,2,0),"Revisar error" )))</f>
        <v>10732511591624.725</v>
      </c>
      <c r="AR57" s="34">
        <f xml:space="preserve"> 11725662 * 1000</f>
        <v>11725662000</v>
      </c>
      <c r="AT57" s="46">
        <f t="shared" si="0"/>
        <v>11725662000</v>
      </c>
      <c r="AU57" s="54">
        <f xml:space="preserve"> IFERROR(ROUND(AT57 / VLOOKUP(A57,Tabla1[#All],2,0),0),"s.i")</f>
        <v>18058128</v>
      </c>
      <c r="AV57" s="33">
        <f xml:space="preserve"> IF(AU57="s.i", "s.i", IF(AND(AU57&gt;=Deflactor!$BQ$298,AU57&lt;Deflactor!$BQ$299), Deflactor!$BP$298, IF(AND(AU57&gt;=Deflactor!$BQ$299,AU57&lt;Deflactor!$BQ$300), Deflactor!$BP$299, IF(AND(AU57&gt;=Deflactor!$BQ$300,AU57&lt;Deflactor!$BQ$301), Deflactor!$BP$300, IF(AND(AU57&gt;=Deflactor!$BQ$301,AU57&lt;Deflactor!$BQ$302), Deflactor!$BP$301, IF(AND(AU57&gt;=Deflactor!$BQ$302,AU57&lt;Deflactor!$BQ$303), Deflactor!$BP$302, IF(AND(AU57&gt;=Deflactor!$BQ$303,AU57&lt;Deflactor!$BQ$304), Deflactor!$BP$303, IF(AND(AU57&gt;=Deflactor!$BQ$304,AU57&lt;Deflactor!$BQ$305), Deflactor!$BP$304, IF(AND(AU57&gt;=Deflactor!$BQ$305,AU57&lt;Deflactor!$BQ$306), Deflactor!$BP$305, IF(AND(AU57&gt;=Deflactor!$BQ$306,AU57&lt;Deflactor!$BQ$307), Deflactor!$BP$306, Deflactor!$BP$307) ) ) ) ) ) ) ) ) )</f>
        <v>6</v>
      </c>
    </row>
    <row r="58" spans="1:48" x14ac:dyDescent="0.25">
      <c r="A58" s="3">
        <v>2017</v>
      </c>
      <c r="B58" s="3" t="s">
        <v>90</v>
      </c>
      <c r="C58" s="3" t="s">
        <v>67</v>
      </c>
      <c r="D58" s="3" t="s">
        <v>32</v>
      </c>
      <c r="E58" s="3" t="s">
        <v>33</v>
      </c>
      <c r="F58" s="3" t="s">
        <v>10</v>
      </c>
      <c r="G58" s="3" t="s">
        <v>723</v>
      </c>
      <c r="H58" s="13">
        <v>2013</v>
      </c>
      <c r="I58" s="13"/>
      <c r="J58" s="10">
        <f xml:space="preserve"> 8868820 * 1000</f>
        <v>8868820000</v>
      </c>
      <c r="K58" s="3" t="s">
        <v>1653</v>
      </c>
      <c r="L58" s="3" t="s">
        <v>1136</v>
      </c>
      <c r="M58" s="3" t="s">
        <v>1135</v>
      </c>
      <c r="N58" s="3" t="s">
        <v>1137</v>
      </c>
      <c r="O58" s="3" t="s">
        <v>1138</v>
      </c>
      <c r="P58" s="3" t="s">
        <v>1139</v>
      </c>
      <c r="Q58" s="3"/>
      <c r="R58" s="11" t="s">
        <v>1133</v>
      </c>
      <c r="S58" s="11" t="s">
        <v>1134</v>
      </c>
      <c r="T58" s="3"/>
      <c r="U58" s="3"/>
      <c r="V58" s="3"/>
      <c r="W58" s="10">
        <f>IF( J58="s.i", "s.i", IF(ISBLANK(J58),"Actualizando información",IFERROR(J58 / VLOOKUP(A58,Deflactor!$G$3:$H$64,2,0),"Revisar error" )))</f>
        <v>7289013566.4073505</v>
      </c>
      <c r="AR58" s="10">
        <f xml:space="preserve"> 11322478 * 1000</f>
        <v>11322478000</v>
      </c>
      <c r="AT58" s="46">
        <f t="shared" si="0"/>
        <v>11322478000</v>
      </c>
      <c r="AU58" s="54">
        <f xml:space="preserve"> IFERROR(ROUND(AT58 / VLOOKUP(A58,Tabla1[#All],2,0),0),"s.i")</f>
        <v>17437203</v>
      </c>
      <c r="AV58" s="33">
        <f xml:space="preserve"> IF(AU58="s.i", "s.i", IF(AND(AU58&gt;=Deflactor!$BQ$298,AU58&lt;Deflactor!$BQ$299), Deflactor!$BP$298, IF(AND(AU58&gt;=Deflactor!$BQ$299,AU58&lt;Deflactor!$BQ$300), Deflactor!$BP$299, IF(AND(AU58&gt;=Deflactor!$BQ$300,AU58&lt;Deflactor!$BQ$301), Deflactor!$BP$300, IF(AND(AU58&gt;=Deflactor!$BQ$301,AU58&lt;Deflactor!$BQ$302), Deflactor!$BP$301, IF(AND(AU58&gt;=Deflactor!$BQ$302,AU58&lt;Deflactor!$BQ$303), Deflactor!$BP$302, IF(AND(AU58&gt;=Deflactor!$BQ$303,AU58&lt;Deflactor!$BQ$304), Deflactor!$BP$303, IF(AND(AU58&gt;=Deflactor!$BQ$304,AU58&lt;Deflactor!$BQ$305), Deflactor!$BP$304, IF(AND(AU58&gt;=Deflactor!$BQ$305,AU58&lt;Deflactor!$BQ$306), Deflactor!$BP$305, IF(AND(AU58&gt;=Deflactor!$BQ$306,AU58&lt;Deflactor!$BQ$307), Deflactor!$BP$306, Deflactor!$BP$307) ) ) ) ) ) ) ) ) )</f>
        <v>6</v>
      </c>
    </row>
    <row r="59" spans="1:48" x14ac:dyDescent="0.25">
      <c r="A59" s="3">
        <v>2017</v>
      </c>
      <c r="B59" s="3" t="s">
        <v>91</v>
      </c>
      <c r="C59" s="3" t="s">
        <v>92</v>
      </c>
      <c r="D59" s="3" t="s">
        <v>36</v>
      </c>
      <c r="E59" s="3" t="s">
        <v>37</v>
      </c>
      <c r="F59" s="3" t="s">
        <v>10</v>
      </c>
      <c r="G59" s="3" t="s">
        <v>723</v>
      </c>
      <c r="H59" s="13">
        <v>2014</v>
      </c>
      <c r="I59" s="13"/>
      <c r="J59" s="10">
        <f xml:space="preserve"> 16848165 * 1000</f>
        <v>16848165000</v>
      </c>
      <c r="K59" s="3" t="s">
        <v>1669</v>
      </c>
      <c r="L59" s="3" t="s">
        <v>1154</v>
      </c>
      <c r="M59" s="3" t="s">
        <v>1155</v>
      </c>
      <c r="N59" s="3" t="s">
        <v>1156</v>
      </c>
      <c r="O59" s="3" t="s">
        <v>1157</v>
      </c>
      <c r="P59" s="3" t="s">
        <v>1158</v>
      </c>
      <c r="Q59" s="3"/>
      <c r="R59" s="11" t="s">
        <v>1151</v>
      </c>
      <c r="S59" s="11" t="s">
        <v>1152</v>
      </c>
      <c r="T59" s="11" t="s">
        <v>1153</v>
      </c>
      <c r="U59" s="3"/>
      <c r="V59" s="3"/>
      <c r="W59" s="10">
        <f>IF( J59="s.i", "s.i", IF(ISBLANK(J59),"Actualizando información",IFERROR(J59 / VLOOKUP(A59,Deflactor!$G$3:$H$64,2,0),"Revisar error" )))</f>
        <v>13846994668.295162</v>
      </c>
      <c r="AR59" s="10">
        <f xml:space="preserve"> 13314863 * 1000</f>
        <v>13314863000</v>
      </c>
      <c r="AT59" s="46">
        <f t="shared" si="0"/>
        <v>13314863000</v>
      </c>
      <c r="AU59" s="54">
        <f xml:space="preserve"> IFERROR(ROUND(AT59 / VLOOKUP(A59,Tabla1[#All],2,0),0),"s.i")</f>
        <v>20505579</v>
      </c>
      <c r="AV59" s="33">
        <f xml:space="preserve"> IF(AU59="s.i", "s.i", IF(AND(AU59&gt;=Deflactor!$BQ$298,AU59&lt;Deflactor!$BQ$299), Deflactor!$BP$298, IF(AND(AU59&gt;=Deflactor!$BQ$299,AU59&lt;Deflactor!$BQ$300), Deflactor!$BP$299, IF(AND(AU59&gt;=Deflactor!$BQ$300,AU59&lt;Deflactor!$BQ$301), Deflactor!$BP$300, IF(AND(AU59&gt;=Deflactor!$BQ$301,AU59&lt;Deflactor!$BQ$302), Deflactor!$BP$301, IF(AND(AU59&gt;=Deflactor!$BQ$302,AU59&lt;Deflactor!$BQ$303), Deflactor!$BP$302, IF(AND(AU59&gt;=Deflactor!$BQ$303,AU59&lt;Deflactor!$BQ$304), Deflactor!$BP$303, IF(AND(AU59&gt;=Deflactor!$BQ$304,AU59&lt;Deflactor!$BQ$305), Deflactor!$BP$304, IF(AND(AU59&gt;=Deflactor!$BQ$305,AU59&lt;Deflactor!$BQ$306), Deflactor!$BP$305, IF(AND(AU59&gt;=Deflactor!$BQ$306,AU59&lt;Deflactor!$BQ$307), Deflactor!$BP$306, Deflactor!$BP$307) ) ) ) ) ) ) ) ) )</f>
        <v>7</v>
      </c>
    </row>
    <row r="60" spans="1:48" x14ac:dyDescent="0.25">
      <c r="A60" s="3">
        <v>2017</v>
      </c>
      <c r="B60" s="3" t="s">
        <v>93</v>
      </c>
      <c r="C60" s="3" t="s">
        <v>7</v>
      </c>
      <c r="D60" s="3" t="s">
        <v>36</v>
      </c>
      <c r="E60" s="3" t="s">
        <v>94</v>
      </c>
      <c r="F60" s="3" t="s">
        <v>95</v>
      </c>
      <c r="G60" s="3" t="s">
        <v>723</v>
      </c>
      <c r="H60" s="13">
        <v>1981</v>
      </c>
      <c r="I60" s="13"/>
      <c r="J60" s="10">
        <f xml:space="preserve"> 90298449 * 1000</f>
        <v>90298449000</v>
      </c>
      <c r="K60" s="3" t="s">
        <v>2299</v>
      </c>
      <c r="L60" s="3" t="s">
        <v>1164</v>
      </c>
      <c r="M60" s="3" t="s">
        <v>1165</v>
      </c>
      <c r="N60" s="3" t="s">
        <v>1166</v>
      </c>
      <c r="O60" s="3" t="s">
        <v>1167</v>
      </c>
      <c r="P60" s="3" t="s">
        <v>1168</v>
      </c>
      <c r="Q60" s="3" t="s">
        <v>1169</v>
      </c>
      <c r="R60" s="11" t="s">
        <v>1159</v>
      </c>
      <c r="S60" s="11" t="s">
        <v>1160</v>
      </c>
      <c r="T60" s="3"/>
      <c r="U60" s="3" t="s">
        <v>96</v>
      </c>
      <c r="V60" s="3"/>
      <c r="W60" s="10">
        <f>IF( J60="s.i", "s.i", IF(ISBLANK(J60),"Actualizando información",IFERROR(J60 / VLOOKUP(A60,Deflactor!$G$3:$H$64,2,0),"Revisar error" )))</f>
        <v>74213550369.332367</v>
      </c>
      <c r="AR60" s="10">
        <f xml:space="preserve"> 51931282 * 1000</f>
        <v>51931282000</v>
      </c>
      <c r="AT60" s="46">
        <f t="shared" si="0"/>
        <v>51931282000</v>
      </c>
      <c r="AU60" s="54">
        <f xml:space="preserve"> IFERROR(ROUND(AT60 / VLOOKUP(A60,Tabla1[#All],2,0),0),"s.i")</f>
        <v>79976867</v>
      </c>
      <c r="AV60" s="33">
        <f xml:space="preserve"> IF(AU60="s.i", "s.i", IF(AND(AU60&gt;=Deflactor!$BQ$298,AU60&lt;Deflactor!$BQ$299), Deflactor!$BP$298, IF(AND(AU60&gt;=Deflactor!$BQ$299,AU60&lt;Deflactor!$BQ$300), Deflactor!$BP$299, IF(AND(AU60&gt;=Deflactor!$BQ$300,AU60&lt;Deflactor!$BQ$301), Deflactor!$BP$300, IF(AND(AU60&gt;=Deflactor!$BQ$301,AU60&lt;Deflactor!$BQ$302), Deflactor!$BP$301, IF(AND(AU60&gt;=Deflactor!$BQ$302,AU60&lt;Deflactor!$BQ$303), Deflactor!$BP$302, IF(AND(AU60&gt;=Deflactor!$BQ$303,AU60&lt;Deflactor!$BQ$304), Deflactor!$BP$303, IF(AND(AU60&gt;=Deflactor!$BQ$304,AU60&lt;Deflactor!$BQ$305), Deflactor!$BP$304, IF(AND(AU60&gt;=Deflactor!$BQ$305,AU60&lt;Deflactor!$BQ$306), Deflactor!$BP$305, IF(AND(AU60&gt;=Deflactor!$BQ$306,AU60&lt;Deflactor!$BQ$307), Deflactor!$BP$306, Deflactor!$BP$307) ) ) ) ) ) ) ) ) )</f>
        <v>9</v>
      </c>
    </row>
    <row r="61" spans="1:48" x14ac:dyDescent="0.25">
      <c r="A61" s="3">
        <v>2017</v>
      </c>
      <c r="B61" s="3" t="s">
        <v>96</v>
      </c>
      <c r="C61" s="3" t="s">
        <v>7</v>
      </c>
      <c r="D61" s="3" t="s">
        <v>36</v>
      </c>
      <c r="E61" s="3" t="s">
        <v>94</v>
      </c>
      <c r="F61" s="3" t="s">
        <v>95</v>
      </c>
      <c r="G61" s="3" t="s">
        <v>723</v>
      </c>
      <c r="H61" s="13">
        <v>1981</v>
      </c>
      <c r="I61" s="13"/>
      <c r="J61" s="10">
        <f xml:space="preserve"> 90298449 * 1000</f>
        <v>90298449000</v>
      </c>
      <c r="K61" s="3" t="s">
        <v>2299</v>
      </c>
      <c r="L61" s="3" t="s">
        <v>1164</v>
      </c>
      <c r="M61" s="3" t="s">
        <v>1165</v>
      </c>
      <c r="N61" s="3" t="s">
        <v>1166</v>
      </c>
      <c r="O61" s="3" t="s">
        <v>1167</v>
      </c>
      <c r="P61" s="3" t="s">
        <v>1168</v>
      </c>
      <c r="Q61" s="3" t="s">
        <v>1169</v>
      </c>
      <c r="R61" s="11" t="s">
        <v>1161</v>
      </c>
      <c r="S61" s="11" t="s">
        <v>1162</v>
      </c>
      <c r="T61" s="11" t="s">
        <v>1163</v>
      </c>
      <c r="U61" s="3" t="s">
        <v>96</v>
      </c>
      <c r="V61" s="3"/>
      <c r="W61" s="10">
        <f>IF( J61="s.i", "s.i", IF(ISBLANK(J61),"Actualizando información",IFERROR(J61 / VLOOKUP(A61,Deflactor!$G$3:$H$64,2,0),"Revisar error" )))</f>
        <v>74213550369.332367</v>
      </c>
      <c r="AR61" s="34">
        <f xml:space="preserve"> 36909596 * 1000</f>
        <v>36909596000</v>
      </c>
      <c r="AT61" s="46">
        <f t="shared" si="0"/>
        <v>36909596000</v>
      </c>
      <c r="AU61" s="54">
        <f xml:space="preserve"> IFERROR(ROUND(AT61 / VLOOKUP(A61,Tabla1[#All],2,0),0),"s.i")</f>
        <v>56842692</v>
      </c>
      <c r="AV61" s="33">
        <f xml:space="preserve"> IF(AU61="s.i", "s.i", IF(AND(AU61&gt;=Deflactor!$BQ$298,AU61&lt;Deflactor!$BQ$299), Deflactor!$BP$298, IF(AND(AU61&gt;=Deflactor!$BQ$299,AU61&lt;Deflactor!$BQ$300), Deflactor!$BP$299, IF(AND(AU61&gt;=Deflactor!$BQ$300,AU61&lt;Deflactor!$BQ$301), Deflactor!$BP$300, IF(AND(AU61&gt;=Deflactor!$BQ$301,AU61&lt;Deflactor!$BQ$302), Deflactor!$BP$301, IF(AND(AU61&gt;=Deflactor!$BQ$302,AU61&lt;Deflactor!$BQ$303), Deflactor!$BP$302, IF(AND(AU61&gt;=Deflactor!$BQ$303,AU61&lt;Deflactor!$BQ$304), Deflactor!$BP$303, IF(AND(AU61&gt;=Deflactor!$BQ$304,AU61&lt;Deflactor!$BQ$305), Deflactor!$BP$304, IF(AND(AU61&gt;=Deflactor!$BQ$305,AU61&lt;Deflactor!$BQ$306), Deflactor!$BP$305, IF(AND(AU61&gt;=Deflactor!$BQ$306,AU61&lt;Deflactor!$BQ$307), Deflactor!$BP$306, Deflactor!$BP$307) ) ) ) ) ) ) ) ) )</f>
        <v>9</v>
      </c>
    </row>
    <row r="62" spans="1:48" x14ac:dyDescent="0.25">
      <c r="A62" s="3">
        <v>2017</v>
      </c>
      <c r="B62" s="3" t="s">
        <v>97</v>
      </c>
      <c r="C62" s="3" t="s">
        <v>7</v>
      </c>
      <c r="D62" s="3" t="s">
        <v>36</v>
      </c>
      <c r="E62" s="3" t="s">
        <v>98</v>
      </c>
      <c r="F62" s="3" t="s">
        <v>95</v>
      </c>
      <c r="G62" s="3" t="s">
        <v>623</v>
      </c>
      <c r="H62" s="13">
        <v>1990</v>
      </c>
      <c r="I62" s="3" t="s">
        <v>623</v>
      </c>
      <c r="J62" s="10">
        <f xml:space="preserve"> 13089972 * 1000</f>
        <v>13089972000</v>
      </c>
      <c r="K62" s="3" t="s">
        <v>2285</v>
      </c>
      <c r="L62" s="3" t="s">
        <v>1173</v>
      </c>
      <c r="M62" s="3" t="s">
        <v>1174</v>
      </c>
      <c r="N62" s="3" t="s">
        <v>1175</v>
      </c>
      <c r="O62" s="3" t="s">
        <v>1176</v>
      </c>
      <c r="P62" s="3" t="s">
        <v>1177</v>
      </c>
      <c r="Q62" s="3"/>
      <c r="R62" s="11" t="s">
        <v>1170</v>
      </c>
      <c r="S62" s="11" t="s">
        <v>1171</v>
      </c>
      <c r="T62" s="11" t="s">
        <v>1172</v>
      </c>
      <c r="U62" s="3" t="s">
        <v>1178</v>
      </c>
      <c r="V62" s="3"/>
      <c r="W62" s="10">
        <f>IF( J62="s.i", "s.i", IF(ISBLANK(J62),"Actualizando información",IFERROR(J62 / VLOOKUP(A62,Deflactor!$G$3:$H$64,2,0),"Revisar error" )))</f>
        <v>10758250081.960438</v>
      </c>
      <c r="AR62" s="34">
        <f xml:space="preserve"> 10060686 * 1000</f>
        <v>10060686000</v>
      </c>
      <c r="AT62" s="46">
        <f t="shared" si="0"/>
        <v>10060686000</v>
      </c>
      <c r="AU62" s="54">
        <f xml:space="preserve"> IFERROR(ROUND(AT62 / VLOOKUP(A62,Tabla1[#All],2,0),0),"s.i")</f>
        <v>15493978</v>
      </c>
      <c r="AV62" s="33">
        <f xml:space="preserve"> IF(AU62="s.i", "s.i", IF(AND(AU62&gt;=Deflactor!$BQ$298,AU62&lt;Deflactor!$BQ$299), Deflactor!$BP$298, IF(AND(AU62&gt;=Deflactor!$BQ$299,AU62&lt;Deflactor!$BQ$300), Deflactor!$BP$299, IF(AND(AU62&gt;=Deflactor!$BQ$300,AU62&lt;Deflactor!$BQ$301), Deflactor!$BP$300, IF(AND(AU62&gt;=Deflactor!$BQ$301,AU62&lt;Deflactor!$BQ$302), Deflactor!$BP$301, IF(AND(AU62&gt;=Deflactor!$BQ$302,AU62&lt;Deflactor!$BQ$303), Deflactor!$BP$302, IF(AND(AU62&gt;=Deflactor!$BQ$303,AU62&lt;Deflactor!$BQ$304), Deflactor!$BP$303, IF(AND(AU62&gt;=Deflactor!$BQ$304,AU62&lt;Deflactor!$BQ$305), Deflactor!$BP$304, IF(AND(AU62&gt;=Deflactor!$BQ$305,AU62&lt;Deflactor!$BQ$306), Deflactor!$BP$305, IF(AND(AU62&gt;=Deflactor!$BQ$306,AU62&lt;Deflactor!$BQ$307), Deflactor!$BP$306, Deflactor!$BP$307) ) ) ) ) ) ) ) ) )</f>
        <v>6</v>
      </c>
    </row>
    <row r="63" spans="1:48" x14ac:dyDescent="0.25">
      <c r="A63" s="3">
        <v>2017</v>
      </c>
      <c r="B63" s="3" t="s">
        <v>99</v>
      </c>
      <c r="C63" s="3" t="s">
        <v>7</v>
      </c>
      <c r="D63" s="3" t="s">
        <v>36</v>
      </c>
      <c r="E63" s="3" t="s">
        <v>81</v>
      </c>
      <c r="F63" s="3" t="s">
        <v>89</v>
      </c>
      <c r="G63" s="3" t="s">
        <v>723</v>
      </c>
      <c r="H63" s="13">
        <v>1981</v>
      </c>
      <c r="I63" s="13"/>
      <c r="J63" s="10">
        <f xml:space="preserve"> 27041864 * 1000000</f>
        <v>27041864000000</v>
      </c>
      <c r="K63" s="3" t="s">
        <v>1788</v>
      </c>
      <c r="L63" s="3" t="s">
        <v>1184</v>
      </c>
      <c r="M63" s="3" t="s">
        <v>1185</v>
      </c>
      <c r="N63" s="3" t="s">
        <v>1183</v>
      </c>
      <c r="O63" s="3" t="s">
        <v>1186</v>
      </c>
      <c r="P63" s="3" t="s">
        <v>1187</v>
      </c>
      <c r="Q63" s="3" t="s">
        <v>1182</v>
      </c>
      <c r="R63" s="11" t="s">
        <v>1179</v>
      </c>
      <c r="S63" s="11" t="s">
        <v>1180</v>
      </c>
      <c r="T63" s="11" t="s">
        <v>1181</v>
      </c>
      <c r="U63" s="3" t="s">
        <v>99</v>
      </c>
      <c r="V63" s="3"/>
      <c r="W63" s="10">
        <f>IF( J63="s.i", "s.i", IF(ISBLANK(J63),"Actualizando información",IFERROR(J63 / VLOOKUP(A63,Deflactor!$G$3:$H$64,2,0),"Revisar error" )))</f>
        <v>22224886011548.609</v>
      </c>
      <c r="AR63" s="34">
        <f xml:space="preserve"> 26854830 * 1000</f>
        <v>26854830000</v>
      </c>
      <c r="AT63" s="46">
        <f t="shared" si="0"/>
        <v>26854830000</v>
      </c>
      <c r="AU63" s="54">
        <f xml:space="preserve"> IFERROR(ROUND(AT63 / VLOOKUP(A63,Tabla1[#All],2,0),0),"s.i")</f>
        <v>41357831</v>
      </c>
      <c r="AV63" s="33">
        <f xml:space="preserve"> IF(AU63="s.i", "s.i", IF(AND(AU63&gt;=Deflactor!$BQ$298,AU63&lt;Deflactor!$BQ$299), Deflactor!$BP$298, IF(AND(AU63&gt;=Deflactor!$BQ$299,AU63&lt;Deflactor!$BQ$300), Deflactor!$BP$299, IF(AND(AU63&gt;=Deflactor!$BQ$300,AU63&lt;Deflactor!$BQ$301), Deflactor!$BP$300, IF(AND(AU63&gt;=Deflactor!$BQ$301,AU63&lt;Deflactor!$BQ$302), Deflactor!$BP$301, IF(AND(AU63&gt;=Deflactor!$BQ$302,AU63&lt;Deflactor!$BQ$303), Deflactor!$BP$302, IF(AND(AU63&gt;=Deflactor!$BQ$303,AU63&lt;Deflactor!$BQ$304), Deflactor!$BP$303, IF(AND(AU63&gt;=Deflactor!$BQ$304,AU63&lt;Deflactor!$BQ$305), Deflactor!$BP$304, IF(AND(AU63&gt;=Deflactor!$BQ$305,AU63&lt;Deflactor!$BQ$306), Deflactor!$BP$305, IF(AND(AU63&gt;=Deflactor!$BQ$306,AU63&lt;Deflactor!$BQ$307), Deflactor!$BP$306, Deflactor!$BP$307) ) ) ) ) ) ) ) ) )</f>
        <v>8</v>
      </c>
    </row>
    <row r="64" spans="1:48" x14ac:dyDescent="0.25">
      <c r="A64" s="3">
        <v>2017</v>
      </c>
      <c r="B64" s="3" t="s">
        <v>100</v>
      </c>
      <c r="C64" s="3" t="s">
        <v>7</v>
      </c>
      <c r="D64" s="3" t="s">
        <v>87</v>
      </c>
      <c r="E64" s="3" t="s">
        <v>88</v>
      </c>
      <c r="F64" s="3" t="s">
        <v>89</v>
      </c>
      <c r="G64" s="3" t="s">
        <v>723</v>
      </c>
      <c r="H64" s="13">
        <v>2015</v>
      </c>
      <c r="I64" s="13"/>
      <c r="J64" s="10">
        <f xml:space="preserve"> 20334675 * 1000000</f>
        <v>20334675000000</v>
      </c>
      <c r="K64" s="3" t="s">
        <v>2514</v>
      </c>
      <c r="L64" s="3" t="s">
        <v>1019</v>
      </c>
      <c r="M64" s="3" t="s">
        <v>1020</v>
      </c>
      <c r="N64" s="3" t="s">
        <v>1021</v>
      </c>
      <c r="O64" s="3" t="s">
        <v>1014</v>
      </c>
      <c r="P64" s="3" t="s">
        <v>1015</v>
      </c>
      <c r="Q64" s="3"/>
      <c r="R64" s="11" t="s">
        <v>1031</v>
      </c>
      <c r="S64" s="11" t="s">
        <v>1032</v>
      </c>
      <c r="T64" s="11" t="s">
        <v>1033</v>
      </c>
      <c r="U64" s="3" t="s">
        <v>1198</v>
      </c>
      <c r="V64" s="3"/>
      <c r="W64" s="10">
        <f>IF( J64="s.i", "s.i", IF(ISBLANK(J64),"Actualizando información",IFERROR(J64 / VLOOKUP(A64,Deflactor!$G$3:$H$64,2,0),"Revisar error" )))</f>
        <v>16712451255464.02</v>
      </c>
      <c r="AR64" s="34">
        <f xml:space="preserve"> 19446013 * 1000</f>
        <v>19446013000</v>
      </c>
      <c r="AT64" s="46">
        <f t="shared" si="0"/>
        <v>19446013000</v>
      </c>
      <c r="AU64" s="54">
        <f xml:space="preserve"> IFERROR(ROUND(AT64 / VLOOKUP(A64,Tabla1[#All],2,0),0),"s.i")</f>
        <v>29947868</v>
      </c>
      <c r="AV64" s="33">
        <f xml:space="preserve"> IF(AU64="s.i", "s.i", IF(AND(AU64&gt;=Deflactor!$BQ$298,AU64&lt;Deflactor!$BQ$299), Deflactor!$BP$298, IF(AND(AU64&gt;=Deflactor!$BQ$299,AU64&lt;Deflactor!$BQ$300), Deflactor!$BP$299, IF(AND(AU64&gt;=Deflactor!$BQ$300,AU64&lt;Deflactor!$BQ$301), Deflactor!$BP$300, IF(AND(AU64&gt;=Deflactor!$BQ$301,AU64&lt;Deflactor!$BQ$302), Deflactor!$BP$301, IF(AND(AU64&gt;=Deflactor!$BQ$302,AU64&lt;Deflactor!$BQ$303), Deflactor!$BP$302, IF(AND(AU64&gt;=Deflactor!$BQ$303,AU64&lt;Deflactor!$BQ$304), Deflactor!$BP$303, IF(AND(AU64&gt;=Deflactor!$BQ$304,AU64&lt;Deflactor!$BQ$305), Deflactor!$BP$304, IF(AND(AU64&gt;=Deflactor!$BQ$305,AU64&lt;Deflactor!$BQ$306), Deflactor!$BP$305, IF(AND(AU64&gt;=Deflactor!$BQ$306,AU64&lt;Deflactor!$BQ$307), Deflactor!$BP$306, Deflactor!$BP$307) ) ) ) ) ) ) ) ) )</f>
        <v>7</v>
      </c>
    </row>
    <row r="65" spans="1:48" x14ac:dyDescent="0.25">
      <c r="A65" s="3">
        <v>2017</v>
      </c>
      <c r="B65" s="3" t="s">
        <v>101</v>
      </c>
      <c r="C65" s="3" t="s">
        <v>7</v>
      </c>
      <c r="D65" s="3" t="s">
        <v>32</v>
      </c>
      <c r="E65" s="3" t="s">
        <v>33</v>
      </c>
      <c r="F65" s="3" t="s">
        <v>89</v>
      </c>
      <c r="G65" s="3" t="s">
        <v>723</v>
      </c>
      <c r="H65" s="13">
        <v>2006</v>
      </c>
      <c r="I65" s="13"/>
      <c r="J65" s="10">
        <f xml:space="preserve"> 57390 * 1000000</f>
        <v>57390000000</v>
      </c>
      <c r="K65" s="3" t="s">
        <v>1862</v>
      </c>
      <c r="L65" s="3" t="s">
        <v>1191</v>
      </c>
      <c r="M65" s="3" t="s">
        <v>1192</v>
      </c>
      <c r="N65" s="3" t="s">
        <v>1193</v>
      </c>
      <c r="O65" s="3" t="s">
        <v>1194</v>
      </c>
      <c r="P65" s="3" t="s">
        <v>1195</v>
      </c>
      <c r="Q65" s="3" t="s">
        <v>1196</v>
      </c>
      <c r="R65" s="11" t="s">
        <v>1188</v>
      </c>
      <c r="S65" s="11" t="s">
        <v>1189</v>
      </c>
      <c r="T65" s="11" t="s">
        <v>1190</v>
      </c>
      <c r="U65" s="3" t="s">
        <v>101</v>
      </c>
      <c r="V65" s="3"/>
      <c r="W65" s="10">
        <f>IF( J65="s.i", "s.i", IF(ISBLANK(J65),"Actualizando información",IFERROR(J65 / VLOOKUP(A65,Deflactor!$G$3:$H$64,2,0),"Revisar error" )))</f>
        <v>47167096476.883942</v>
      </c>
      <c r="AR65" s="10">
        <f xml:space="preserve"> 47601821 * 1000</f>
        <v>47601821000</v>
      </c>
      <c r="AT65" s="46">
        <f t="shared" si="0"/>
        <v>47601821000</v>
      </c>
      <c r="AU65" s="54">
        <f xml:space="preserve"> IFERROR(ROUND(AT65 / VLOOKUP(A65,Tabla1[#All],2,0),0),"s.i")</f>
        <v>73309273</v>
      </c>
      <c r="AV65" s="33">
        <f xml:space="preserve"> IF(AU65="s.i", "s.i", IF(AND(AU65&gt;=Deflactor!$BQ$298,AU65&lt;Deflactor!$BQ$299), Deflactor!$BP$298, IF(AND(AU65&gt;=Deflactor!$BQ$299,AU65&lt;Deflactor!$BQ$300), Deflactor!$BP$299, IF(AND(AU65&gt;=Deflactor!$BQ$300,AU65&lt;Deflactor!$BQ$301), Deflactor!$BP$300, IF(AND(AU65&gt;=Deflactor!$BQ$301,AU65&lt;Deflactor!$BQ$302), Deflactor!$BP$301, IF(AND(AU65&gt;=Deflactor!$BQ$302,AU65&lt;Deflactor!$BQ$303), Deflactor!$BP$302, IF(AND(AU65&gt;=Deflactor!$BQ$303,AU65&lt;Deflactor!$BQ$304), Deflactor!$BP$303, IF(AND(AU65&gt;=Deflactor!$BQ$304,AU65&lt;Deflactor!$BQ$305), Deflactor!$BP$304, IF(AND(AU65&gt;=Deflactor!$BQ$305,AU65&lt;Deflactor!$BQ$306), Deflactor!$BP$305, IF(AND(AU65&gt;=Deflactor!$BQ$306,AU65&lt;Deflactor!$BQ$307), Deflactor!$BP$306, Deflactor!$BP$307) ) ) ) ) ) ) ) ) )</f>
        <v>9</v>
      </c>
    </row>
    <row r="66" spans="1:48" x14ac:dyDescent="0.25">
      <c r="A66" s="3">
        <v>2017</v>
      </c>
      <c r="B66" s="3" t="s">
        <v>102</v>
      </c>
      <c r="C66" s="3" t="s">
        <v>7</v>
      </c>
      <c r="D66" s="3" t="s">
        <v>87</v>
      </c>
      <c r="E66" s="3" t="s">
        <v>88</v>
      </c>
      <c r="F66" s="3" t="s">
        <v>89</v>
      </c>
      <c r="G66" s="3" t="s">
        <v>723</v>
      </c>
      <c r="H66" s="13">
        <v>2014</v>
      </c>
      <c r="I66" s="13"/>
      <c r="J66" s="10">
        <f xml:space="preserve"> 8586768 * 1000000</f>
        <v>8586768000000</v>
      </c>
      <c r="K66" s="3" t="s">
        <v>2287</v>
      </c>
      <c r="L66" s="3" t="s">
        <v>1025</v>
      </c>
      <c r="M66" s="3" t="s">
        <v>1026</v>
      </c>
      <c r="N66" s="3" t="s">
        <v>1027</v>
      </c>
      <c r="O66" s="3" t="s">
        <v>1014</v>
      </c>
      <c r="P66" s="3" t="s">
        <v>1015</v>
      </c>
      <c r="Q66" s="3"/>
      <c r="R66" s="11" t="s">
        <v>1034</v>
      </c>
      <c r="S66" s="11" t="s">
        <v>1035</v>
      </c>
      <c r="T66" s="11" t="s">
        <v>1036</v>
      </c>
      <c r="U66" s="3" t="s">
        <v>1198</v>
      </c>
      <c r="V66" s="3"/>
      <c r="W66" s="10">
        <f>IF( J66="s.i", "s.i", IF(ISBLANK(J66),"Actualizando información",IFERROR(J66 / VLOOKUP(A66,Deflactor!$G$3:$H$64,2,0),"Revisar error" )))</f>
        <v>7057203601335.0723</v>
      </c>
      <c r="AR66" s="34">
        <f xml:space="preserve"> (230133 + 7356890) * 1000</f>
        <v>7587023000</v>
      </c>
      <c r="AT66" s="46">
        <f t="shared" si="0"/>
        <v>7587023000</v>
      </c>
      <c r="AU66" s="54">
        <f xml:space="preserve"> IFERROR(ROUND(AT66 / VLOOKUP(A66,Tabla1[#All],2,0),0),"s.i")</f>
        <v>11684409</v>
      </c>
      <c r="AV66" s="33">
        <f xml:space="preserve"> IF(AU66="s.i", "s.i", IF(AND(AU66&gt;=Deflactor!$BQ$298,AU66&lt;Deflactor!$BQ$299), Deflactor!$BP$298, IF(AND(AU66&gt;=Deflactor!$BQ$299,AU66&lt;Deflactor!$BQ$300), Deflactor!$BP$299, IF(AND(AU66&gt;=Deflactor!$BQ$300,AU66&lt;Deflactor!$BQ$301), Deflactor!$BP$300, IF(AND(AU66&gt;=Deflactor!$BQ$301,AU66&lt;Deflactor!$BQ$302), Deflactor!$BP$301, IF(AND(AU66&gt;=Deflactor!$BQ$302,AU66&lt;Deflactor!$BQ$303), Deflactor!$BP$302, IF(AND(AU66&gt;=Deflactor!$BQ$303,AU66&lt;Deflactor!$BQ$304), Deflactor!$BP$303, IF(AND(AU66&gt;=Deflactor!$BQ$304,AU66&lt;Deflactor!$BQ$305), Deflactor!$BP$304, IF(AND(AU66&gt;=Deflactor!$BQ$305,AU66&lt;Deflactor!$BQ$306), Deflactor!$BP$305, IF(AND(AU66&gt;=Deflactor!$BQ$306,AU66&lt;Deflactor!$BQ$307), Deflactor!$BP$306, Deflactor!$BP$307) ) ) ) ) ) ) ) ) )</f>
        <v>5</v>
      </c>
    </row>
    <row r="67" spans="1:48" x14ac:dyDescent="0.25">
      <c r="A67" s="3">
        <v>2017</v>
      </c>
      <c r="B67" s="3" t="s">
        <v>103</v>
      </c>
      <c r="C67" s="3" t="s">
        <v>7</v>
      </c>
      <c r="D67" s="3" t="s">
        <v>54</v>
      </c>
      <c r="E67" s="3" t="s">
        <v>55</v>
      </c>
      <c r="F67" s="3" t="s">
        <v>95</v>
      </c>
      <c r="G67" s="3" t="s">
        <v>723</v>
      </c>
      <c r="H67" s="13">
        <v>2006</v>
      </c>
      <c r="I67" s="13"/>
      <c r="J67" s="10">
        <f xml:space="preserve"> 8332 * 1000000</f>
        <v>8332000000</v>
      </c>
      <c r="K67" s="3" t="s">
        <v>1670</v>
      </c>
      <c r="L67" s="3" t="s">
        <v>1202</v>
      </c>
      <c r="M67" s="3" t="s">
        <v>1203</v>
      </c>
      <c r="N67" s="3" t="s">
        <v>1205</v>
      </c>
      <c r="O67" s="3" t="s">
        <v>1206</v>
      </c>
      <c r="P67" s="3" t="s">
        <v>1207</v>
      </c>
      <c r="Q67" s="3" t="s">
        <v>1204</v>
      </c>
      <c r="R67" s="11" t="s">
        <v>1199</v>
      </c>
      <c r="S67" s="11" t="s">
        <v>1200</v>
      </c>
      <c r="T67" s="11" t="s">
        <v>1201</v>
      </c>
      <c r="U67" s="3"/>
      <c r="V67" s="3"/>
      <c r="W67" s="10">
        <f>IF( J67="s.i", "s.i", IF(ISBLANK(J67),"Actualizando información",IFERROR(J67 / VLOOKUP(A67,Deflactor!$G$3:$H$64,2,0),"Revisar error" )))</f>
        <v>6847817526.4923687</v>
      </c>
      <c r="AR67" s="10">
        <f xml:space="preserve"> 7744158 * 1000</f>
        <v>7744158000</v>
      </c>
      <c r="AT67" s="46">
        <f t="shared" ref="AT67:AT130" si="2">AR67</f>
        <v>7744158000</v>
      </c>
      <c r="AU67" s="54">
        <f xml:space="preserve"> IFERROR(ROUND(AT67 / VLOOKUP(A67,Tabla1[#All],2,0),0),"s.i")</f>
        <v>11926405</v>
      </c>
      <c r="AV67" s="33">
        <f xml:space="preserve"> IF(AU67="s.i", "s.i", IF(AND(AU67&gt;=Deflactor!$BQ$298,AU67&lt;Deflactor!$BQ$299), Deflactor!$BP$298, IF(AND(AU67&gt;=Deflactor!$BQ$299,AU67&lt;Deflactor!$BQ$300), Deflactor!$BP$299, IF(AND(AU67&gt;=Deflactor!$BQ$300,AU67&lt;Deflactor!$BQ$301), Deflactor!$BP$300, IF(AND(AU67&gt;=Deflactor!$BQ$301,AU67&lt;Deflactor!$BQ$302), Deflactor!$BP$301, IF(AND(AU67&gt;=Deflactor!$BQ$302,AU67&lt;Deflactor!$BQ$303), Deflactor!$BP$302, IF(AND(AU67&gt;=Deflactor!$BQ$303,AU67&lt;Deflactor!$BQ$304), Deflactor!$BP$303, IF(AND(AU67&gt;=Deflactor!$BQ$304,AU67&lt;Deflactor!$BQ$305), Deflactor!$BP$304, IF(AND(AU67&gt;=Deflactor!$BQ$305,AU67&lt;Deflactor!$BQ$306), Deflactor!$BP$305, IF(AND(AU67&gt;=Deflactor!$BQ$306,AU67&lt;Deflactor!$BQ$307), Deflactor!$BP$306, Deflactor!$BP$307) ) ) ) ) ) ) ) ) )</f>
        <v>5</v>
      </c>
    </row>
    <row r="68" spans="1:48" x14ac:dyDescent="0.25">
      <c r="A68" s="3">
        <v>2017</v>
      </c>
      <c r="B68" s="3" t="s">
        <v>104</v>
      </c>
      <c r="C68" s="3" t="s">
        <v>7</v>
      </c>
      <c r="D68" s="3" t="s">
        <v>12</v>
      </c>
      <c r="E68" s="3" t="s">
        <v>105</v>
      </c>
      <c r="F68" s="3" t="s">
        <v>89</v>
      </c>
      <c r="G68" s="3" t="s">
        <v>723</v>
      </c>
      <c r="H68" s="13">
        <v>2014</v>
      </c>
      <c r="I68" s="13"/>
      <c r="J68" s="10">
        <f xml:space="preserve"> 12792579 * 1000</f>
        <v>12792579000</v>
      </c>
      <c r="K68" s="3" t="s">
        <v>1654</v>
      </c>
      <c r="L68" s="3" t="s">
        <v>1210</v>
      </c>
      <c r="M68" s="3" t="s">
        <v>1211</v>
      </c>
      <c r="N68" s="3" t="s">
        <v>1212</v>
      </c>
      <c r="O68" s="3" t="s">
        <v>1213</v>
      </c>
      <c r="P68" s="3" t="s">
        <v>1215</v>
      </c>
      <c r="Q68" s="3" t="s">
        <v>1214</v>
      </c>
      <c r="R68" s="11" t="s">
        <v>1208</v>
      </c>
      <c r="S68" s="11" t="s">
        <v>1209</v>
      </c>
      <c r="T68" s="3"/>
      <c r="U68" s="3" t="s">
        <v>757</v>
      </c>
      <c r="V68" s="3"/>
      <c r="W68" s="10">
        <f>IF( J68="s.i", "s.i", IF(ISBLANK(J68),"Actualizando información",IFERROR(J68 / VLOOKUP(A68,Deflactor!$G$3:$H$64,2,0),"Revisar error" )))</f>
        <v>10513831815.319036</v>
      </c>
      <c r="AR68" s="10">
        <f xml:space="preserve"> 13468518 * 1000</f>
        <v>13468518000</v>
      </c>
      <c r="AT68" s="46">
        <f t="shared" si="2"/>
        <v>13468518000</v>
      </c>
      <c r="AU68" s="54">
        <f xml:space="preserve"> IFERROR(ROUND(AT68 / VLOOKUP(A68,Tabla1[#All],2,0),0),"s.i")</f>
        <v>20742216</v>
      </c>
      <c r="AV68" s="33">
        <f xml:space="preserve"> IF(AU68="s.i", "s.i", IF(AND(AU68&gt;=Deflactor!$BQ$298,AU68&lt;Deflactor!$BQ$299), Deflactor!$BP$298, IF(AND(AU68&gt;=Deflactor!$BQ$299,AU68&lt;Deflactor!$BQ$300), Deflactor!$BP$299, IF(AND(AU68&gt;=Deflactor!$BQ$300,AU68&lt;Deflactor!$BQ$301), Deflactor!$BP$300, IF(AND(AU68&gt;=Deflactor!$BQ$301,AU68&lt;Deflactor!$BQ$302), Deflactor!$BP$301, IF(AND(AU68&gt;=Deflactor!$BQ$302,AU68&lt;Deflactor!$BQ$303), Deflactor!$BP$302, IF(AND(AU68&gt;=Deflactor!$BQ$303,AU68&lt;Deflactor!$BQ$304), Deflactor!$BP$303, IF(AND(AU68&gt;=Deflactor!$BQ$304,AU68&lt;Deflactor!$BQ$305), Deflactor!$BP$304, IF(AND(AU68&gt;=Deflactor!$BQ$305,AU68&lt;Deflactor!$BQ$306), Deflactor!$BP$305, IF(AND(AU68&gt;=Deflactor!$BQ$306,AU68&lt;Deflactor!$BQ$307), Deflactor!$BP$306, Deflactor!$BP$307) ) ) ) ) ) ) ) ) )</f>
        <v>7</v>
      </c>
    </row>
    <row r="69" spans="1:48" x14ac:dyDescent="0.25">
      <c r="A69" s="3">
        <v>2017</v>
      </c>
      <c r="B69" s="3" t="s">
        <v>106</v>
      </c>
      <c r="C69" s="3" t="s">
        <v>7</v>
      </c>
      <c r="D69" s="3" t="s">
        <v>107</v>
      </c>
      <c r="E69" s="3" t="s">
        <v>108</v>
      </c>
      <c r="F69" s="3" t="s">
        <v>95</v>
      </c>
      <c r="G69" s="3" t="s">
        <v>723</v>
      </c>
      <c r="H69" s="13">
        <v>2013</v>
      </c>
      <c r="I69" s="13"/>
      <c r="J69" s="10">
        <f xml:space="preserve"> 12814 * 1000000</f>
        <v>12814000000</v>
      </c>
      <c r="K69" s="3" t="s">
        <v>1671</v>
      </c>
      <c r="L69" s="3" t="s">
        <v>1223</v>
      </c>
      <c r="M69" s="3" t="s">
        <v>1224</v>
      </c>
      <c r="N69" s="3" t="s">
        <v>1225</v>
      </c>
      <c r="O69" s="3" t="s">
        <v>1226</v>
      </c>
      <c r="P69" s="3" t="s">
        <v>1227</v>
      </c>
      <c r="Q69" s="3" t="s">
        <v>1222</v>
      </c>
      <c r="R69" s="11" t="s">
        <v>1219</v>
      </c>
      <c r="S69" s="11" t="s">
        <v>1220</v>
      </c>
      <c r="T69" s="11" t="s">
        <v>1221</v>
      </c>
      <c r="U69" s="3"/>
      <c r="V69" s="3"/>
      <c r="W69" s="10">
        <f>IF( J69="s.i", "s.i", IF(ISBLANK(J69),"Actualizando información",IFERROR(J69 / VLOOKUP(A69,Deflactor!$G$3:$H$64,2,0),"Revisar error" )))</f>
        <v>10531437084.070236</v>
      </c>
      <c r="AR69" s="10">
        <f xml:space="preserve"> 11522889 * 1000</f>
        <v>11522889000</v>
      </c>
      <c r="AT69" s="46">
        <f t="shared" si="2"/>
        <v>11522889000</v>
      </c>
      <c r="AU69" s="54">
        <f xml:space="preserve"> IFERROR(ROUND(AT69 / VLOOKUP(A69,Tabla1[#All],2,0),0),"s.i")</f>
        <v>17745847</v>
      </c>
      <c r="AV69" s="33">
        <f xml:space="preserve"> IF(AU69="s.i", "s.i", IF(AND(AU69&gt;=Deflactor!$BQ$298,AU69&lt;Deflactor!$BQ$299), Deflactor!$BP$298, IF(AND(AU69&gt;=Deflactor!$BQ$299,AU69&lt;Deflactor!$BQ$300), Deflactor!$BP$299, IF(AND(AU69&gt;=Deflactor!$BQ$300,AU69&lt;Deflactor!$BQ$301), Deflactor!$BP$300, IF(AND(AU69&gt;=Deflactor!$BQ$301,AU69&lt;Deflactor!$BQ$302), Deflactor!$BP$301, IF(AND(AU69&gt;=Deflactor!$BQ$302,AU69&lt;Deflactor!$BQ$303), Deflactor!$BP$302, IF(AND(AU69&gt;=Deflactor!$BQ$303,AU69&lt;Deflactor!$BQ$304), Deflactor!$BP$303, IF(AND(AU69&gt;=Deflactor!$BQ$304,AU69&lt;Deflactor!$BQ$305), Deflactor!$BP$304, IF(AND(AU69&gt;=Deflactor!$BQ$305,AU69&lt;Deflactor!$BQ$306), Deflactor!$BP$305, IF(AND(AU69&gt;=Deflactor!$BQ$306,AU69&lt;Deflactor!$BQ$307), Deflactor!$BP$306, Deflactor!$BP$307) ) ) ) ) ) ) ) ) )</f>
        <v>6</v>
      </c>
    </row>
    <row r="70" spans="1:48" x14ac:dyDescent="0.25">
      <c r="A70" s="3">
        <v>2017</v>
      </c>
      <c r="B70" s="3" t="s">
        <v>109</v>
      </c>
      <c r="C70" s="3" t="s">
        <v>7</v>
      </c>
      <c r="D70" s="3" t="s">
        <v>87</v>
      </c>
      <c r="E70" s="3" t="s">
        <v>88</v>
      </c>
      <c r="F70" s="3" t="s">
        <v>89</v>
      </c>
      <c r="G70" s="3" t="s">
        <v>723</v>
      </c>
      <c r="H70" s="13">
        <v>2002</v>
      </c>
      <c r="I70" s="13"/>
      <c r="J70" s="10">
        <f xml:space="preserve"> 6577906 * 1000000</f>
        <v>6577906000000</v>
      </c>
      <c r="K70" s="3" t="s">
        <v>2286</v>
      </c>
      <c r="L70" s="3" t="s">
        <v>1022</v>
      </c>
      <c r="M70" s="3" t="s">
        <v>1023</v>
      </c>
      <c r="N70" s="3" t="s">
        <v>1024</v>
      </c>
      <c r="O70" s="3" t="s">
        <v>1014</v>
      </c>
      <c r="P70" s="3" t="s">
        <v>1015</v>
      </c>
      <c r="Q70" s="3"/>
      <c r="R70" s="11" t="s">
        <v>1037</v>
      </c>
      <c r="S70" s="11" t="s">
        <v>1038</v>
      </c>
      <c r="T70" s="11" t="s">
        <v>1039</v>
      </c>
      <c r="U70" s="3" t="s">
        <v>1198</v>
      </c>
      <c r="V70" s="3"/>
      <c r="W70" s="10">
        <f>IF( J70="s.i", "s.i", IF(ISBLANK(J70),"Actualizando información",IFERROR(J70 / VLOOKUP(A70,Deflactor!$G$3:$H$64,2,0),"Revisar error" )))</f>
        <v>5406180988288.4434</v>
      </c>
      <c r="AR70" s="34">
        <f xml:space="preserve"> 4930461 * 1000</f>
        <v>4930461000</v>
      </c>
      <c r="AT70" s="46">
        <f t="shared" si="2"/>
        <v>4930461000</v>
      </c>
      <c r="AU70" s="54">
        <f xml:space="preserve"> IFERROR(ROUND(AT70 / VLOOKUP(A70,Tabla1[#All],2,0),0),"s.i")</f>
        <v>7593166</v>
      </c>
      <c r="AV70" s="33">
        <f xml:space="preserve"> IF(AU70="s.i", "s.i", IF(AND(AU70&gt;=Deflactor!$BQ$298,AU70&lt;Deflactor!$BQ$299), Deflactor!$BP$298, IF(AND(AU70&gt;=Deflactor!$BQ$299,AU70&lt;Deflactor!$BQ$300), Deflactor!$BP$299, IF(AND(AU70&gt;=Deflactor!$BQ$300,AU70&lt;Deflactor!$BQ$301), Deflactor!$BP$300, IF(AND(AU70&gt;=Deflactor!$BQ$301,AU70&lt;Deflactor!$BQ$302), Deflactor!$BP$301, IF(AND(AU70&gt;=Deflactor!$BQ$302,AU70&lt;Deflactor!$BQ$303), Deflactor!$BP$302, IF(AND(AU70&gt;=Deflactor!$BQ$303,AU70&lt;Deflactor!$BQ$304), Deflactor!$BP$303, IF(AND(AU70&gt;=Deflactor!$BQ$304,AU70&lt;Deflactor!$BQ$305), Deflactor!$BP$304, IF(AND(AU70&gt;=Deflactor!$BQ$305,AU70&lt;Deflactor!$BQ$306), Deflactor!$BP$305, IF(AND(AU70&gt;=Deflactor!$BQ$306,AU70&lt;Deflactor!$BQ$307), Deflactor!$BP$306, Deflactor!$BP$307) ) ) ) ) ) ) ) ) )</f>
        <v>4</v>
      </c>
    </row>
    <row r="71" spans="1:48" x14ac:dyDescent="0.25">
      <c r="A71" s="3">
        <v>2017</v>
      </c>
      <c r="B71" s="3" t="s">
        <v>110</v>
      </c>
      <c r="C71" s="3" t="s">
        <v>7</v>
      </c>
      <c r="D71" s="3" t="s">
        <v>87</v>
      </c>
      <c r="E71" s="3" t="s">
        <v>88</v>
      </c>
      <c r="F71" s="3" t="s">
        <v>89</v>
      </c>
      <c r="G71" s="3" t="s">
        <v>723</v>
      </c>
      <c r="H71" s="13">
        <v>2015</v>
      </c>
      <c r="I71" s="13"/>
      <c r="J71" s="10">
        <f xml:space="preserve"> 9208672 * 1000000</f>
        <v>9208672000000</v>
      </c>
      <c r="K71" s="3" t="s">
        <v>2286</v>
      </c>
      <c r="L71" s="3" t="s">
        <v>1028</v>
      </c>
      <c r="M71" s="3" t="s">
        <v>1029</v>
      </c>
      <c r="N71" s="3" t="s">
        <v>1030</v>
      </c>
      <c r="O71" s="3" t="s">
        <v>1014</v>
      </c>
      <c r="P71" s="3" t="s">
        <v>1015</v>
      </c>
      <c r="Q71" s="3"/>
      <c r="R71" s="11" t="s">
        <v>1040</v>
      </c>
      <c r="S71" s="11" t="s">
        <v>1041</v>
      </c>
      <c r="T71" s="11" t="s">
        <v>1042</v>
      </c>
      <c r="U71" s="3" t="s">
        <v>1198</v>
      </c>
      <c r="V71" s="3"/>
      <c r="W71" s="10">
        <f>IF( J71="s.i", "s.i", IF(ISBLANK(J71),"Actualizando información",IFERROR(J71 / VLOOKUP(A71,Deflactor!$G$3:$H$64,2,0),"Revisar error" )))</f>
        <v>7568327594493.4629</v>
      </c>
      <c r="AR71" s="34">
        <f xml:space="preserve"> (59658 + 7556828) * 1000</f>
        <v>7616486000</v>
      </c>
      <c r="AT71" s="46">
        <f t="shared" si="2"/>
        <v>7616486000</v>
      </c>
      <c r="AU71" s="54">
        <f xml:space="preserve"> IFERROR(ROUND(AT71 / VLOOKUP(A71,Tabla1[#All],2,0),0),"s.i")</f>
        <v>11729783</v>
      </c>
      <c r="AV71" s="33">
        <f xml:space="preserve"> IF(AU71="s.i", "s.i", IF(AND(AU71&gt;=Deflactor!$BQ$298,AU71&lt;Deflactor!$BQ$299), Deflactor!$BP$298, IF(AND(AU71&gt;=Deflactor!$BQ$299,AU71&lt;Deflactor!$BQ$300), Deflactor!$BP$299, IF(AND(AU71&gt;=Deflactor!$BQ$300,AU71&lt;Deflactor!$BQ$301), Deflactor!$BP$300, IF(AND(AU71&gt;=Deflactor!$BQ$301,AU71&lt;Deflactor!$BQ$302), Deflactor!$BP$301, IF(AND(AU71&gt;=Deflactor!$BQ$302,AU71&lt;Deflactor!$BQ$303), Deflactor!$BP$302, IF(AND(AU71&gt;=Deflactor!$BQ$303,AU71&lt;Deflactor!$BQ$304), Deflactor!$BP$303, IF(AND(AU71&gt;=Deflactor!$BQ$304,AU71&lt;Deflactor!$BQ$305), Deflactor!$BP$304, IF(AND(AU71&gt;=Deflactor!$BQ$305,AU71&lt;Deflactor!$BQ$306), Deflactor!$BP$305, IF(AND(AU71&gt;=Deflactor!$BQ$306,AU71&lt;Deflactor!$BQ$307), Deflactor!$BP$306, Deflactor!$BP$307) ) ) ) ) ) ) ) ) )</f>
        <v>5</v>
      </c>
    </row>
    <row r="72" spans="1:48" x14ac:dyDescent="0.25">
      <c r="A72" s="3">
        <v>2017</v>
      </c>
      <c r="B72" s="3" t="s">
        <v>111</v>
      </c>
      <c r="C72" s="3" t="s">
        <v>7</v>
      </c>
      <c r="D72" s="3" t="s">
        <v>36</v>
      </c>
      <c r="E72" s="3" t="s">
        <v>81</v>
      </c>
      <c r="F72" s="3" t="s">
        <v>95</v>
      </c>
      <c r="G72" s="3" t="s">
        <v>723</v>
      </c>
      <c r="H72" s="13">
        <v>1991</v>
      </c>
      <c r="I72" s="13"/>
      <c r="J72" s="10">
        <f xml:space="preserve"> 8240855 * 1000000</f>
        <v>8240855000000</v>
      </c>
      <c r="K72" s="3" t="s">
        <v>1789</v>
      </c>
      <c r="L72" s="3" t="s">
        <v>1238</v>
      </c>
      <c r="M72" s="3" t="s">
        <v>1237</v>
      </c>
      <c r="N72" s="3" t="s">
        <v>1239</v>
      </c>
      <c r="O72" s="3" t="s">
        <v>1240</v>
      </c>
      <c r="P72" s="3" t="s">
        <v>1241</v>
      </c>
      <c r="Q72" s="3" t="s">
        <v>1236</v>
      </c>
      <c r="R72" s="11" t="s">
        <v>1242</v>
      </c>
      <c r="S72" s="11" t="s">
        <v>1243</v>
      </c>
      <c r="T72" s="11" t="s">
        <v>1244</v>
      </c>
      <c r="U72" s="3"/>
      <c r="V72" s="3"/>
      <c r="W72" s="10">
        <f>IF( J72="s.i", "s.i", IF(ISBLANK(J72),"Actualizando información",IFERROR(J72 / VLOOKUP(A72,Deflactor!$G$3:$H$64,2,0),"Revisar error" )))</f>
        <v>6772908221589.3262</v>
      </c>
      <c r="AR72" s="34">
        <f xml:space="preserve"> 8240855 * 1000</f>
        <v>8240855000</v>
      </c>
      <c r="AT72" s="46">
        <f t="shared" si="2"/>
        <v>8240855000</v>
      </c>
      <c r="AU72" s="54">
        <f xml:space="preserve"> IFERROR(ROUND(AT72 / VLOOKUP(A72,Tabla1[#All],2,0),0),"s.i")</f>
        <v>12691344</v>
      </c>
      <c r="AV72" s="33">
        <f xml:space="preserve"> IF(AU72="s.i", "s.i", IF(AND(AU72&gt;=Deflactor!$BQ$298,AU72&lt;Deflactor!$BQ$299), Deflactor!$BP$298, IF(AND(AU72&gt;=Deflactor!$BQ$299,AU72&lt;Deflactor!$BQ$300), Deflactor!$BP$299, IF(AND(AU72&gt;=Deflactor!$BQ$300,AU72&lt;Deflactor!$BQ$301), Deflactor!$BP$300, IF(AND(AU72&gt;=Deflactor!$BQ$301,AU72&lt;Deflactor!$BQ$302), Deflactor!$BP$301, IF(AND(AU72&gt;=Deflactor!$BQ$302,AU72&lt;Deflactor!$BQ$303), Deflactor!$BP$302, IF(AND(AU72&gt;=Deflactor!$BQ$303,AU72&lt;Deflactor!$BQ$304), Deflactor!$BP$303, IF(AND(AU72&gt;=Deflactor!$BQ$304,AU72&lt;Deflactor!$BQ$305), Deflactor!$BP$304, IF(AND(AU72&gt;=Deflactor!$BQ$305,AU72&lt;Deflactor!$BQ$306), Deflactor!$BP$305, IF(AND(AU72&gt;=Deflactor!$BQ$306,AU72&lt;Deflactor!$BQ$307), Deflactor!$BP$306, Deflactor!$BP$307) ) ) ) ) ) ) ) ) )</f>
        <v>5</v>
      </c>
    </row>
    <row r="73" spans="1:48" x14ac:dyDescent="0.25">
      <c r="A73" s="3">
        <v>2017</v>
      </c>
      <c r="B73" s="3" t="s">
        <v>112</v>
      </c>
      <c r="C73" s="3" t="s">
        <v>7</v>
      </c>
      <c r="D73" s="3" t="s">
        <v>54</v>
      </c>
      <c r="E73" s="3" t="s">
        <v>55</v>
      </c>
      <c r="F73" s="3" t="s">
        <v>30</v>
      </c>
      <c r="G73" s="3" t="s">
        <v>723</v>
      </c>
      <c r="H73" s="13">
        <v>2015</v>
      </c>
      <c r="I73" s="13"/>
      <c r="J73" s="10">
        <f xml:space="preserve"> 3679766 * 1000000</f>
        <v>3679766000000</v>
      </c>
      <c r="K73" s="3" t="s">
        <v>2284</v>
      </c>
      <c r="L73" s="3" t="s">
        <v>1128</v>
      </c>
      <c r="M73" s="3" t="s">
        <v>1129</v>
      </c>
      <c r="N73" s="3" t="s">
        <v>1130</v>
      </c>
      <c r="O73" s="3" t="s">
        <v>1131</v>
      </c>
      <c r="P73" s="3" t="s">
        <v>1132</v>
      </c>
      <c r="Q73" s="3" t="s">
        <v>1127</v>
      </c>
      <c r="R73" s="11" t="s">
        <v>1124</v>
      </c>
      <c r="S73" s="11" t="s">
        <v>1125</v>
      </c>
      <c r="T73" s="11" t="s">
        <v>1126</v>
      </c>
      <c r="U73" s="3"/>
      <c r="V73" s="3"/>
      <c r="W73" s="10">
        <f>IF( J73="s.i", "s.i", IF(ISBLANK(J73),"Actualizando información",IFERROR(J73 / VLOOKUP(A73,Deflactor!$G$3:$H$64,2,0),"Revisar error" )))</f>
        <v>3024287819033.9316</v>
      </c>
      <c r="AR73" s="34" t="s">
        <v>2357</v>
      </c>
      <c r="AT73" s="46">
        <f>'Notas reunion'!T37</f>
        <v>3679767000</v>
      </c>
      <c r="AU73" s="54">
        <f xml:space="preserve"> IFERROR(ROUND(AT73 / VLOOKUP(A73,Tabla1[#All],2,0),0),"s.i")</f>
        <v>5667032</v>
      </c>
      <c r="AV73" s="33">
        <f xml:space="preserve"> IF(AU73="s.i", "s.i", IF(AND(AU73&gt;=Deflactor!$BQ$298,AU73&lt;Deflactor!$BQ$299), Deflactor!$BP$298, IF(AND(AU73&gt;=Deflactor!$BQ$299,AU73&lt;Deflactor!$BQ$300), Deflactor!$BP$299, IF(AND(AU73&gt;=Deflactor!$BQ$300,AU73&lt;Deflactor!$BQ$301), Deflactor!$BP$300, IF(AND(AU73&gt;=Deflactor!$BQ$301,AU73&lt;Deflactor!$BQ$302), Deflactor!$BP$301, IF(AND(AU73&gt;=Deflactor!$BQ$302,AU73&lt;Deflactor!$BQ$303), Deflactor!$BP$302, IF(AND(AU73&gt;=Deflactor!$BQ$303,AU73&lt;Deflactor!$BQ$304), Deflactor!$BP$303, IF(AND(AU73&gt;=Deflactor!$BQ$304,AU73&lt;Deflactor!$BQ$305), Deflactor!$BP$304, IF(AND(AU73&gt;=Deflactor!$BQ$305,AU73&lt;Deflactor!$BQ$306), Deflactor!$BP$305, IF(AND(AU73&gt;=Deflactor!$BQ$306,AU73&lt;Deflactor!$BQ$307), Deflactor!$BP$306, Deflactor!$BP$307) ) ) ) ) ) ) ) ) )</f>
        <v>3</v>
      </c>
    </row>
    <row r="74" spans="1:48" x14ac:dyDescent="0.25">
      <c r="A74" s="3">
        <v>2017</v>
      </c>
      <c r="B74" s="3" t="s">
        <v>113</v>
      </c>
      <c r="C74" s="3" t="s">
        <v>7</v>
      </c>
      <c r="D74" s="3" t="s">
        <v>54</v>
      </c>
      <c r="E74" s="3" t="s">
        <v>55</v>
      </c>
      <c r="F74" s="3" t="s">
        <v>95</v>
      </c>
      <c r="G74" s="3" t="s">
        <v>723</v>
      </c>
      <c r="H74" s="13">
        <v>2014</v>
      </c>
      <c r="I74" s="13"/>
      <c r="J74" s="10">
        <f xml:space="preserve"> 17015612 * 1000000</f>
        <v>17015612000000</v>
      </c>
      <c r="K74" s="3" t="s">
        <v>1675</v>
      </c>
      <c r="L74" s="3" t="s">
        <v>1248</v>
      </c>
      <c r="M74" s="3" t="s">
        <v>1249</v>
      </c>
      <c r="N74" s="3" t="s">
        <v>1250</v>
      </c>
      <c r="O74" s="3" t="s">
        <v>1251</v>
      </c>
      <c r="P74" s="3" t="s">
        <v>1252</v>
      </c>
      <c r="Q74" s="3"/>
      <c r="R74" s="11" t="s">
        <v>1245</v>
      </c>
      <c r="S74" s="11" t="s">
        <v>1246</v>
      </c>
      <c r="T74" s="11" t="s">
        <v>1247</v>
      </c>
      <c r="U74" s="3"/>
      <c r="V74" s="3"/>
      <c r="W74" s="10">
        <f>IF( J74="s.i", "s.i", IF(ISBLANK(J74),"Actualizando información",IFERROR(J74 / VLOOKUP(A74,Deflactor!$G$3:$H$64,2,0),"Revisar error" )))</f>
        <v>13984614267594.078</v>
      </c>
      <c r="AR74" s="34" t="s">
        <v>2357</v>
      </c>
      <c r="AT74" s="46">
        <f>'Notas reunion'!T38</f>
        <v>3679767000</v>
      </c>
      <c r="AU74" s="54">
        <f xml:space="preserve"> IFERROR(ROUND(AT74 / VLOOKUP(A74,Tabla1[#All],2,0),0),"s.i")</f>
        <v>5667032</v>
      </c>
      <c r="AV74" s="33">
        <f xml:space="preserve"> IF(AU74="s.i", "s.i", IF(AND(AU74&gt;=Deflactor!$BQ$298,AU74&lt;Deflactor!$BQ$299), Deflactor!$BP$298, IF(AND(AU74&gt;=Deflactor!$BQ$299,AU74&lt;Deflactor!$BQ$300), Deflactor!$BP$299, IF(AND(AU74&gt;=Deflactor!$BQ$300,AU74&lt;Deflactor!$BQ$301), Deflactor!$BP$300, IF(AND(AU74&gt;=Deflactor!$BQ$301,AU74&lt;Deflactor!$BQ$302), Deflactor!$BP$301, IF(AND(AU74&gt;=Deflactor!$BQ$302,AU74&lt;Deflactor!$BQ$303), Deflactor!$BP$302, IF(AND(AU74&gt;=Deflactor!$BQ$303,AU74&lt;Deflactor!$BQ$304), Deflactor!$BP$303, IF(AND(AU74&gt;=Deflactor!$BQ$304,AU74&lt;Deflactor!$BQ$305), Deflactor!$BP$304, IF(AND(AU74&gt;=Deflactor!$BQ$305,AU74&lt;Deflactor!$BQ$306), Deflactor!$BP$305, IF(AND(AU74&gt;=Deflactor!$BQ$306,AU74&lt;Deflactor!$BQ$307), Deflactor!$BP$306, Deflactor!$BP$307) ) ) ) ) ) ) ) ) )</f>
        <v>3</v>
      </c>
    </row>
    <row r="75" spans="1:48" x14ac:dyDescent="0.25">
      <c r="A75" s="3">
        <v>2017</v>
      </c>
      <c r="B75" s="3" t="s">
        <v>114</v>
      </c>
      <c r="C75" s="3" t="s">
        <v>7</v>
      </c>
      <c r="D75" s="3" t="s">
        <v>54</v>
      </c>
      <c r="E75" s="3" t="s">
        <v>55</v>
      </c>
      <c r="F75" s="3" t="s">
        <v>89</v>
      </c>
      <c r="G75" s="3" t="s">
        <v>723</v>
      </c>
      <c r="H75" s="13">
        <v>2013</v>
      </c>
      <c r="I75" s="13"/>
      <c r="J75" s="10">
        <f xml:space="preserve"> 26622592 * 1000000</f>
        <v>26622592000000</v>
      </c>
      <c r="K75" s="3" t="s">
        <v>1674</v>
      </c>
      <c r="L75" s="3" t="s">
        <v>1256</v>
      </c>
      <c r="M75" s="3" t="s">
        <v>1257</v>
      </c>
      <c r="N75" s="3" t="s">
        <v>1260</v>
      </c>
      <c r="O75" s="3" t="s">
        <v>1258</v>
      </c>
      <c r="P75" s="3" t="s">
        <v>1259</v>
      </c>
      <c r="Q75" s="3"/>
      <c r="R75" s="11" t="s">
        <v>1253</v>
      </c>
      <c r="S75" s="11" t="s">
        <v>1254</v>
      </c>
      <c r="T75" s="11" t="s">
        <v>1255</v>
      </c>
      <c r="U75" s="3"/>
      <c r="V75" s="3"/>
      <c r="W75" s="10">
        <f>IF( J75="s.i", "s.i", IF(ISBLANK(J75),"Actualizando información",IFERROR(J75 / VLOOKUP(A75,Deflactor!$G$3:$H$64,2,0),"Revisar error" )))</f>
        <v>21880299099646.605</v>
      </c>
      <c r="AR75" s="34" t="s">
        <v>2357</v>
      </c>
      <c r="AT75" s="46">
        <f>'Notas reunion'!T39</f>
        <v>17640975000</v>
      </c>
      <c r="AU75" s="54">
        <f xml:space="preserve"> IFERROR(ROUND(AT75 / VLOOKUP(A75,Tabla1[#All],2,0),0),"s.i")</f>
        <v>27168016</v>
      </c>
      <c r="AV75" s="33">
        <f xml:space="preserve"> IF(AU75="s.i", "s.i", IF(AND(AU75&gt;=Deflactor!$BQ$298,AU75&lt;Deflactor!$BQ$299), Deflactor!$BP$298, IF(AND(AU75&gt;=Deflactor!$BQ$299,AU75&lt;Deflactor!$BQ$300), Deflactor!$BP$299, IF(AND(AU75&gt;=Deflactor!$BQ$300,AU75&lt;Deflactor!$BQ$301), Deflactor!$BP$300, IF(AND(AU75&gt;=Deflactor!$BQ$301,AU75&lt;Deflactor!$BQ$302), Deflactor!$BP$301, IF(AND(AU75&gt;=Deflactor!$BQ$302,AU75&lt;Deflactor!$BQ$303), Deflactor!$BP$302, IF(AND(AU75&gt;=Deflactor!$BQ$303,AU75&lt;Deflactor!$BQ$304), Deflactor!$BP$303, IF(AND(AU75&gt;=Deflactor!$BQ$304,AU75&lt;Deflactor!$BQ$305), Deflactor!$BP$304, IF(AND(AU75&gt;=Deflactor!$BQ$305,AU75&lt;Deflactor!$BQ$306), Deflactor!$BP$305, IF(AND(AU75&gt;=Deflactor!$BQ$306,AU75&lt;Deflactor!$BQ$307), Deflactor!$BP$306, Deflactor!$BP$307) ) ) ) ) ) ) ) ) )</f>
        <v>7</v>
      </c>
    </row>
    <row r="76" spans="1:48" x14ac:dyDescent="0.25">
      <c r="A76" s="3">
        <v>2017</v>
      </c>
      <c r="B76" s="3" t="s">
        <v>115</v>
      </c>
      <c r="C76" s="3" t="s">
        <v>7</v>
      </c>
      <c r="D76" s="3" t="s">
        <v>107</v>
      </c>
      <c r="E76" s="3" t="s">
        <v>108</v>
      </c>
      <c r="F76" s="3" t="s">
        <v>89</v>
      </c>
      <c r="G76" s="3" t="s">
        <v>723</v>
      </c>
      <c r="H76" s="13">
        <v>2015</v>
      </c>
      <c r="I76" s="13"/>
      <c r="J76" s="10">
        <f xml:space="preserve"> 1261 * 1000000</f>
        <v>1261000000</v>
      </c>
      <c r="K76" s="3" t="s">
        <v>1671</v>
      </c>
      <c r="L76" s="3" t="s">
        <v>1228</v>
      </c>
      <c r="M76" s="3" t="s">
        <v>1229</v>
      </c>
      <c r="N76" s="3" t="s">
        <v>1230</v>
      </c>
      <c r="O76" s="3" t="s">
        <v>1231</v>
      </c>
      <c r="P76" s="3" t="s">
        <v>1232</v>
      </c>
      <c r="Q76" s="3"/>
      <c r="R76" s="11" t="s">
        <v>1233</v>
      </c>
      <c r="S76" s="11" t="s">
        <v>1234</v>
      </c>
      <c r="T76" s="11" t="s">
        <v>1235</v>
      </c>
      <c r="U76" s="3"/>
      <c r="V76" s="3"/>
      <c r="W76" s="10">
        <f>IF( J76="s.i", "s.i", IF(ISBLANK(J76),"Actualizando información",IFERROR(J76 / VLOOKUP(A76,Deflactor!$G$3:$H$64,2,0),"Revisar error" )))</f>
        <v>1036377568.5197884</v>
      </c>
      <c r="AR76" s="10">
        <f xml:space="preserve"> 1261045 * 1000</f>
        <v>1261045000</v>
      </c>
      <c r="AT76" s="46">
        <f t="shared" si="2"/>
        <v>1261045000</v>
      </c>
      <c r="AU76" s="54">
        <f xml:space="preserve"> IFERROR(ROUND(AT76 / VLOOKUP(A76,Tabla1[#All],2,0),0),"s.i")</f>
        <v>1942075</v>
      </c>
      <c r="AV76" s="33">
        <f xml:space="preserve"> IF(AU76="s.i", "s.i", IF(AND(AU76&gt;=Deflactor!$BQ$298,AU76&lt;Deflactor!$BQ$299), Deflactor!$BP$298, IF(AND(AU76&gt;=Deflactor!$BQ$299,AU76&lt;Deflactor!$BQ$300), Deflactor!$BP$299, IF(AND(AU76&gt;=Deflactor!$BQ$300,AU76&lt;Deflactor!$BQ$301), Deflactor!$BP$300, IF(AND(AU76&gt;=Deflactor!$BQ$301,AU76&lt;Deflactor!$BQ$302), Deflactor!$BP$301, IF(AND(AU76&gt;=Deflactor!$BQ$302,AU76&lt;Deflactor!$BQ$303), Deflactor!$BP$302, IF(AND(AU76&gt;=Deflactor!$BQ$303,AU76&lt;Deflactor!$BQ$304), Deflactor!$BP$303, IF(AND(AU76&gt;=Deflactor!$BQ$304,AU76&lt;Deflactor!$BQ$305), Deflactor!$BP$304, IF(AND(AU76&gt;=Deflactor!$BQ$305,AU76&lt;Deflactor!$BQ$306), Deflactor!$BP$305, IF(AND(AU76&gt;=Deflactor!$BQ$306,AU76&lt;Deflactor!$BQ$307), Deflactor!$BP$306, Deflactor!$BP$307) ) ) ) ) ) ) ) ) )</f>
        <v>1</v>
      </c>
    </row>
    <row r="77" spans="1:48" x14ac:dyDescent="0.25">
      <c r="A77" s="3">
        <v>2017</v>
      </c>
      <c r="B77" s="3" t="s">
        <v>116</v>
      </c>
      <c r="C77" s="3" t="s">
        <v>7</v>
      </c>
      <c r="D77" s="3" t="s">
        <v>25</v>
      </c>
      <c r="E77" s="3" t="s">
        <v>117</v>
      </c>
      <c r="F77" s="3" t="s">
        <v>30</v>
      </c>
      <c r="G77" s="3" t="s">
        <v>623</v>
      </c>
      <c r="H77" s="13">
        <v>2014</v>
      </c>
      <c r="I77" s="13" t="s">
        <v>623</v>
      </c>
      <c r="J77" s="10">
        <f xml:space="preserve"> 38171814 * 1000</f>
        <v>38171814000</v>
      </c>
      <c r="K77" s="3" t="s">
        <v>1663</v>
      </c>
      <c r="L77" s="3" t="s">
        <v>1264</v>
      </c>
      <c r="M77" s="3" t="s">
        <v>1265</v>
      </c>
      <c r="N77" s="3" t="s">
        <v>1266</v>
      </c>
      <c r="O77" s="3" t="s">
        <v>1267</v>
      </c>
      <c r="P77" s="3" t="s">
        <v>1268</v>
      </c>
      <c r="Q77" s="3"/>
      <c r="R77" s="11" t="s">
        <v>1261</v>
      </c>
      <c r="S77" s="11" t="s">
        <v>1262</v>
      </c>
      <c r="T77" s="11" t="s">
        <v>1263</v>
      </c>
      <c r="U77" s="3" t="s">
        <v>1271</v>
      </c>
      <c r="V77" s="3"/>
      <c r="W77" s="10">
        <f>IF( J77="s.i", "s.i", IF(ISBLANK(J77),"Actualizando información",IFERROR(J77 / VLOOKUP(A77,Deflactor!$G$3:$H$64,2,0),"Revisar error" )))</f>
        <v>31372253591.839508</v>
      </c>
      <c r="AR77" s="34">
        <f xml:space="preserve"> 27217404 * 1000</f>
        <v>27217404000</v>
      </c>
      <c r="AT77" s="46">
        <f t="shared" si="2"/>
        <v>27217404000</v>
      </c>
      <c r="AU77" s="54">
        <f xml:space="preserve"> IFERROR(ROUND(AT77 / VLOOKUP(A77,Tabla1[#All],2,0),0),"s.i")</f>
        <v>41916213</v>
      </c>
      <c r="AV77" s="33">
        <f xml:space="preserve"> IF(AU77="s.i", "s.i", IF(AND(AU77&gt;=Deflactor!$BQ$298,AU77&lt;Deflactor!$BQ$299), Deflactor!$BP$298, IF(AND(AU77&gt;=Deflactor!$BQ$299,AU77&lt;Deflactor!$BQ$300), Deflactor!$BP$299, IF(AND(AU77&gt;=Deflactor!$BQ$300,AU77&lt;Deflactor!$BQ$301), Deflactor!$BP$300, IF(AND(AU77&gt;=Deflactor!$BQ$301,AU77&lt;Deflactor!$BQ$302), Deflactor!$BP$301, IF(AND(AU77&gt;=Deflactor!$BQ$302,AU77&lt;Deflactor!$BQ$303), Deflactor!$BP$302, IF(AND(AU77&gt;=Deflactor!$BQ$303,AU77&lt;Deflactor!$BQ$304), Deflactor!$BP$303, IF(AND(AU77&gt;=Deflactor!$BQ$304,AU77&lt;Deflactor!$BQ$305), Deflactor!$BP$304, IF(AND(AU77&gt;=Deflactor!$BQ$305,AU77&lt;Deflactor!$BQ$306), Deflactor!$BP$305, IF(AND(AU77&gt;=Deflactor!$BQ$306,AU77&lt;Deflactor!$BQ$307), Deflactor!$BP$306, Deflactor!$BP$307) ) ) ) ) ) ) ) ) )</f>
        <v>8</v>
      </c>
    </row>
    <row r="78" spans="1:48" x14ac:dyDescent="0.25">
      <c r="A78" s="3">
        <v>2017</v>
      </c>
      <c r="B78" s="3" t="s">
        <v>118</v>
      </c>
      <c r="C78" s="3" t="s">
        <v>7</v>
      </c>
      <c r="D78" s="3" t="s">
        <v>25</v>
      </c>
      <c r="E78" s="3" t="s">
        <v>117</v>
      </c>
      <c r="F78" s="3" t="s">
        <v>30</v>
      </c>
      <c r="G78" s="3" t="s">
        <v>623</v>
      </c>
      <c r="H78" s="13">
        <v>2014</v>
      </c>
      <c r="I78" s="13" t="s">
        <v>623</v>
      </c>
      <c r="J78" s="10">
        <f xml:space="preserve"> 38171814 * 1000</f>
        <v>38171814000</v>
      </c>
      <c r="K78" s="3" t="s">
        <v>1663</v>
      </c>
      <c r="L78" s="3" t="s">
        <v>1264</v>
      </c>
      <c r="M78" s="3" t="s">
        <v>1265</v>
      </c>
      <c r="N78" s="3" t="s">
        <v>1266</v>
      </c>
      <c r="O78" s="3" t="s">
        <v>1267</v>
      </c>
      <c r="P78" s="3" t="s">
        <v>1268</v>
      </c>
      <c r="Q78" s="3"/>
      <c r="R78" s="11" t="s">
        <v>1269</v>
      </c>
      <c r="S78" s="11" t="s">
        <v>1270</v>
      </c>
      <c r="T78" s="3"/>
      <c r="U78" s="3" t="s">
        <v>1271</v>
      </c>
      <c r="V78" s="3"/>
      <c r="W78" s="10">
        <f>IF( J78="s.i", "s.i", IF(ISBLANK(J78),"Actualizando información",IFERROR(J78 / VLOOKUP(A78,Deflactor!$G$3:$H$64,2,0),"Revisar error" )))</f>
        <v>31372253591.839508</v>
      </c>
      <c r="AR78" s="34">
        <f xml:space="preserve"> (954890 + 4676246 + 1709309) * 1000</f>
        <v>7340445000</v>
      </c>
      <c r="AT78" s="46">
        <f t="shared" si="2"/>
        <v>7340445000</v>
      </c>
      <c r="AU78" s="54">
        <f xml:space="preserve"> IFERROR(ROUND(AT78 / VLOOKUP(A78,Tabla1[#All],2,0),0),"s.i")</f>
        <v>11304666</v>
      </c>
      <c r="AV78" s="33">
        <f xml:space="preserve"> IF(AU78="s.i", "s.i", IF(AND(AU78&gt;=Deflactor!$BQ$298,AU78&lt;Deflactor!$BQ$299), Deflactor!$BP$298, IF(AND(AU78&gt;=Deflactor!$BQ$299,AU78&lt;Deflactor!$BQ$300), Deflactor!$BP$299, IF(AND(AU78&gt;=Deflactor!$BQ$300,AU78&lt;Deflactor!$BQ$301), Deflactor!$BP$300, IF(AND(AU78&gt;=Deflactor!$BQ$301,AU78&lt;Deflactor!$BQ$302), Deflactor!$BP$301, IF(AND(AU78&gt;=Deflactor!$BQ$302,AU78&lt;Deflactor!$BQ$303), Deflactor!$BP$302, IF(AND(AU78&gt;=Deflactor!$BQ$303,AU78&lt;Deflactor!$BQ$304), Deflactor!$BP$303, IF(AND(AU78&gt;=Deflactor!$BQ$304,AU78&lt;Deflactor!$BQ$305), Deflactor!$BP$304, IF(AND(AU78&gt;=Deflactor!$BQ$305,AU78&lt;Deflactor!$BQ$306), Deflactor!$BP$305, IF(AND(AU78&gt;=Deflactor!$BQ$306,AU78&lt;Deflactor!$BQ$307), Deflactor!$BP$306, Deflactor!$BP$307) ) ) ) ) ) ) ) ) )</f>
        <v>5</v>
      </c>
    </row>
    <row r="79" spans="1:48" x14ac:dyDescent="0.25">
      <c r="A79" s="3">
        <v>2017</v>
      </c>
      <c r="B79" s="3" t="s">
        <v>119</v>
      </c>
      <c r="C79" s="3" t="s">
        <v>7</v>
      </c>
      <c r="D79" s="3" t="s">
        <v>20</v>
      </c>
      <c r="E79" s="3" t="s">
        <v>120</v>
      </c>
      <c r="F79" s="3" t="s">
        <v>95</v>
      </c>
      <c r="G79" s="3" t="s">
        <v>623</v>
      </c>
      <c r="H79" s="13">
        <v>2004</v>
      </c>
      <c r="I79" s="13" t="s">
        <v>623</v>
      </c>
      <c r="J79" s="10">
        <f xml:space="preserve"> 11502842 * 1000000</f>
        <v>11502842000000</v>
      </c>
      <c r="K79" s="3" t="s">
        <v>1673</v>
      </c>
      <c r="L79" s="3" t="s">
        <v>1276</v>
      </c>
      <c r="M79" s="3" t="s">
        <v>1275</v>
      </c>
      <c r="N79" s="3" t="s">
        <v>1277</v>
      </c>
      <c r="O79" s="3" t="s">
        <v>1278</v>
      </c>
      <c r="P79" s="3" t="s">
        <v>1279</v>
      </c>
      <c r="Q79" s="3"/>
      <c r="R79" s="11" t="s">
        <v>1272</v>
      </c>
      <c r="S79" s="11" t="s">
        <v>1273</v>
      </c>
      <c r="T79" s="11" t="s">
        <v>1274</v>
      </c>
      <c r="U79" s="3"/>
      <c r="V79" s="3"/>
      <c r="W79" s="10">
        <f>IF( J79="s.i", "s.i", IF(ISBLANK(J79),"Actualizando información",IFERROR(J79 / VLOOKUP(A79,Deflactor!$G$3:$H$64,2,0),"Revisar error" )))</f>
        <v>9453836180037.5098</v>
      </c>
      <c r="AR79" s="34">
        <f>11502842 * 1000</f>
        <v>11502842000</v>
      </c>
      <c r="AT79" s="46">
        <f t="shared" si="2"/>
        <v>11502842000</v>
      </c>
      <c r="AU79" s="54">
        <f xml:space="preserve"> IFERROR(ROUND(AT79 / VLOOKUP(A79,Tabla1[#All],2,0),0),"s.i")</f>
        <v>17714973</v>
      </c>
      <c r="AV79" s="33">
        <f xml:space="preserve"> IF(AU79="s.i", "s.i", IF(AND(AU79&gt;=Deflactor!$BQ$298,AU79&lt;Deflactor!$BQ$299), Deflactor!$BP$298, IF(AND(AU79&gt;=Deflactor!$BQ$299,AU79&lt;Deflactor!$BQ$300), Deflactor!$BP$299, IF(AND(AU79&gt;=Deflactor!$BQ$300,AU79&lt;Deflactor!$BQ$301), Deflactor!$BP$300, IF(AND(AU79&gt;=Deflactor!$BQ$301,AU79&lt;Deflactor!$BQ$302), Deflactor!$BP$301, IF(AND(AU79&gt;=Deflactor!$BQ$302,AU79&lt;Deflactor!$BQ$303), Deflactor!$BP$302, IF(AND(AU79&gt;=Deflactor!$BQ$303,AU79&lt;Deflactor!$BQ$304), Deflactor!$BP$303, IF(AND(AU79&gt;=Deflactor!$BQ$304,AU79&lt;Deflactor!$BQ$305), Deflactor!$BP$304, IF(AND(AU79&gt;=Deflactor!$BQ$305,AU79&lt;Deflactor!$BQ$306), Deflactor!$BP$305, IF(AND(AU79&gt;=Deflactor!$BQ$306,AU79&lt;Deflactor!$BQ$307), Deflactor!$BP$306, Deflactor!$BP$307) ) ) ) ) ) ) ) ) )</f>
        <v>6</v>
      </c>
    </row>
    <row r="80" spans="1:48" x14ac:dyDescent="0.25">
      <c r="A80" s="3">
        <v>2017</v>
      </c>
      <c r="B80" s="3" t="s">
        <v>121</v>
      </c>
      <c r="C80" s="3" t="s">
        <v>7</v>
      </c>
      <c r="D80" s="3" t="s">
        <v>64</v>
      </c>
      <c r="E80" s="3" t="s">
        <v>65</v>
      </c>
      <c r="F80" s="3" t="s">
        <v>95</v>
      </c>
      <c r="G80" s="3" t="s">
        <v>723</v>
      </c>
      <c r="H80" s="13">
        <v>2004</v>
      </c>
      <c r="I80" s="13"/>
      <c r="J80" s="10">
        <f xml:space="preserve"> 18378 * 1000000</f>
        <v>18378000000</v>
      </c>
      <c r="K80" s="3" t="s">
        <v>2288</v>
      </c>
      <c r="L80" s="3" t="s">
        <v>1286</v>
      </c>
      <c r="M80" s="3" t="s">
        <v>1283</v>
      </c>
      <c r="N80" s="3" t="s">
        <v>1284</v>
      </c>
      <c r="O80" s="3" t="s">
        <v>1285</v>
      </c>
      <c r="P80" s="3" t="s">
        <v>1287</v>
      </c>
      <c r="Q80" s="3"/>
      <c r="R80" s="11" t="s">
        <v>1280</v>
      </c>
      <c r="S80" s="11" t="s">
        <v>1281</v>
      </c>
      <c r="T80" s="11" t="s">
        <v>1282</v>
      </c>
      <c r="U80" s="3"/>
      <c r="V80" s="3"/>
      <c r="W80" s="10">
        <f>IF( J80="s.i", "s.i", IF(ISBLANK(J80),"Actualizando información",IFERROR(J80 / VLOOKUP(A80,Deflactor!$G$3:$H$64,2,0),"Revisar error" )))</f>
        <v>15104319551.353426</v>
      </c>
      <c r="AR80" s="10">
        <f>16660641 * 1000</f>
        <v>16660641000</v>
      </c>
      <c r="AT80" s="46">
        <f t="shared" si="2"/>
        <v>16660641000</v>
      </c>
      <c r="AU80" s="54">
        <f xml:space="preserve"> IFERROR(ROUND(AT80 / VLOOKUP(A80,Tabla1[#All],2,0),0),"s.i")</f>
        <v>25658251</v>
      </c>
      <c r="AV80" s="33">
        <f xml:space="preserve"> IF(AU80="s.i", "s.i", IF(AND(AU80&gt;=Deflactor!$BQ$298,AU80&lt;Deflactor!$BQ$299), Deflactor!$BP$298, IF(AND(AU80&gt;=Deflactor!$BQ$299,AU80&lt;Deflactor!$BQ$300), Deflactor!$BP$299, IF(AND(AU80&gt;=Deflactor!$BQ$300,AU80&lt;Deflactor!$BQ$301), Deflactor!$BP$300, IF(AND(AU80&gt;=Deflactor!$BQ$301,AU80&lt;Deflactor!$BQ$302), Deflactor!$BP$301, IF(AND(AU80&gt;=Deflactor!$BQ$302,AU80&lt;Deflactor!$BQ$303), Deflactor!$BP$302, IF(AND(AU80&gt;=Deflactor!$BQ$303,AU80&lt;Deflactor!$BQ$304), Deflactor!$BP$303, IF(AND(AU80&gt;=Deflactor!$BQ$304,AU80&lt;Deflactor!$BQ$305), Deflactor!$BP$304, IF(AND(AU80&gt;=Deflactor!$BQ$305,AU80&lt;Deflactor!$BQ$306), Deflactor!$BP$305, IF(AND(AU80&gt;=Deflactor!$BQ$306,AU80&lt;Deflactor!$BQ$307), Deflactor!$BP$306, Deflactor!$BP$307) ) ) ) ) ) ) ) ) )</f>
        <v>7</v>
      </c>
    </row>
    <row r="81" spans="1:48" x14ac:dyDescent="0.25">
      <c r="A81" s="3">
        <v>2017</v>
      </c>
      <c r="B81" s="3" t="s">
        <v>122</v>
      </c>
      <c r="C81" s="3" t="s">
        <v>7</v>
      </c>
      <c r="D81" s="3" t="s">
        <v>32</v>
      </c>
      <c r="E81" s="3" t="s">
        <v>33</v>
      </c>
      <c r="F81" s="3" t="s">
        <v>30</v>
      </c>
      <c r="G81" s="3" t="s">
        <v>723</v>
      </c>
      <c r="H81" s="13">
        <v>2015</v>
      </c>
      <c r="I81" s="13"/>
      <c r="J81" s="10">
        <f xml:space="preserve"> 246302903 * 1000</f>
        <v>246302903000</v>
      </c>
      <c r="K81" s="3" t="s">
        <v>1653</v>
      </c>
      <c r="L81" s="3" t="s">
        <v>1293</v>
      </c>
      <c r="M81" s="3" t="s">
        <v>1291</v>
      </c>
      <c r="N81" s="3" t="s">
        <v>1292</v>
      </c>
      <c r="O81" s="3" t="s">
        <v>1294</v>
      </c>
      <c r="P81" s="3" t="s">
        <v>1295</v>
      </c>
      <c r="Q81" s="3"/>
      <c r="R81" s="11" t="s">
        <v>1288</v>
      </c>
      <c r="S81" s="11" t="s">
        <v>1289</v>
      </c>
      <c r="T81" s="11" t="s">
        <v>1290</v>
      </c>
      <c r="U81" s="3" t="s">
        <v>1197</v>
      </c>
      <c r="V81" s="3"/>
      <c r="W81" s="10">
        <f>IF( J81="s.i", "s.i", IF(ISBLANK(J81),"Actualizando información",IFERROR(J81 / VLOOKUP(A81,Deflactor!$G$3:$H$64,2,0),"Revisar error" )))</f>
        <v>202428868937.75201</v>
      </c>
      <c r="AR81" s="34" t="s">
        <v>2357</v>
      </c>
      <c r="AT81" s="46" t="str">
        <f>'Notas reunion'!T40</f>
        <v>s.i</v>
      </c>
      <c r="AU81" s="54" t="str">
        <f xml:space="preserve"> IFERROR(ROUND(AT81 / VLOOKUP(A81,Tabla1[#All],2,0),0),"s.i")</f>
        <v>s.i</v>
      </c>
      <c r="AV81" s="33" t="str">
        <f xml:space="preserve"> IF(AU81="s.i", "s.i", IF(AND(AU81&gt;=Deflactor!$BQ$298,AU81&lt;Deflactor!$BQ$299), Deflactor!$BP$298, IF(AND(AU81&gt;=Deflactor!$BQ$299,AU81&lt;Deflactor!$BQ$300), Deflactor!$BP$299, IF(AND(AU81&gt;=Deflactor!$BQ$300,AU81&lt;Deflactor!$BQ$301), Deflactor!$BP$300, IF(AND(AU81&gt;=Deflactor!$BQ$301,AU81&lt;Deflactor!$BQ$302), Deflactor!$BP$301, IF(AND(AU81&gt;=Deflactor!$BQ$302,AU81&lt;Deflactor!$BQ$303), Deflactor!$BP$302, IF(AND(AU81&gt;=Deflactor!$BQ$303,AU81&lt;Deflactor!$BQ$304), Deflactor!$BP$303, IF(AND(AU81&gt;=Deflactor!$BQ$304,AU81&lt;Deflactor!$BQ$305), Deflactor!$BP$304, IF(AND(AU81&gt;=Deflactor!$BQ$305,AU81&lt;Deflactor!$BQ$306), Deflactor!$BP$305, IF(AND(AU81&gt;=Deflactor!$BQ$306,AU81&lt;Deflactor!$BQ$307), Deflactor!$BP$306, Deflactor!$BP$307) ) ) ) ) ) ) ) ) )</f>
        <v>s.i</v>
      </c>
    </row>
    <row r="82" spans="1:48" x14ac:dyDescent="0.25">
      <c r="A82" s="3">
        <v>2016</v>
      </c>
      <c r="B82" s="3" t="s">
        <v>123</v>
      </c>
      <c r="C82" s="3" t="s">
        <v>7</v>
      </c>
      <c r="D82" s="3" t="s">
        <v>40</v>
      </c>
      <c r="E82" s="3" t="s">
        <v>43</v>
      </c>
      <c r="F82" s="3" t="s">
        <v>89</v>
      </c>
      <c r="G82" s="3" t="s">
        <v>723</v>
      </c>
      <c r="H82" s="13">
        <v>2008</v>
      </c>
      <c r="I82" s="13" t="s">
        <v>623</v>
      </c>
      <c r="J82" s="10">
        <f xml:space="preserve"> 33740927 * 1000</f>
        <v>33740927000</v>
      </c>
      <c r="K82" s="3" t="s">
        <v>2281</v>
      </c>
      <c r="L82" s="3" t="s">
        <v>1336</v>
      </c>
      <c r="M82" s="3" t="s">
        <v>1337</v>
      </c>
      <c r="N82" s="3" t="s">
        <v>1338</v>
      </c>
      <c r="O82" s="3" t="s">
        <v>1339</v>
      </c>
      <c r="P82" s="3"/>
      <c r="Q82" s="3"/>
      <c r="R82" s="3" t="s">
        <v>1340</v>
      </c>
      <c r="S82" s="3" t="s">
        <v>1341</v>
      </c>
      <c r="T82" s="3" t="s">
        <v>1342</v>
      </c>
      <c r="U82" s="3" t="s">
        <v>1611</v>
      </c>
      <c r="V82" s="3"/>
      <c r="W82" s="10">
        <f>IF( J82="s.i", "s.i", IF(ISBLANK(J82),"Actualizando información",IFERROR(J82 / VLOOKUP(A82,Deflactor!$G$3:$H$64,2,0),"Revisar error" )))</f>
        <v>29056725512.718685</v>
      </c>
      <c r="AR82" s="10">
        <f t="shared" ref="AR82:AR83" si="3">22728030 * 1000</f>
        <v>22728030000</v>
      </c>
      <c r="AT82" s="46">
        <f t="shared" si="2"/>
        <v>22728030000</v>
      </c>
      <c r="AU82" s="54">
        <f xml:space="preserve"> IFERROR(ROUND(AT82 / VLOOKUP(A82,Tabla1[#All],2,0),0),"s.i")</f>
        <v>33579996</v>
      </c>
      <c r="AV82" s="33">
        <f xml:space="preserve"> IF(AU82="s.i", "s.i", IF(AND(AU82&gt;=Deflactor!$BQ$298,AU82&lt;Deflactor!$BQ$299), Deflactor!$BP$298, IF(AND(AU82&gt;=Deflactor!$BQ$299,AU82&lt;Deflactor!$BQ$300), Deflactor!$BP$299, IF(AND(AU82&gt;=Deflactor!$BQ$300,AU82&lt;Deflactor!$BQ$301), Deflactor!$BP$300, IF(AND(AU82&gt;=Deflactor!$BQ$301,AU82&lt;Deflactor!$BQ$302), Deflactor!$BP$301, IF(AND(AU82&gt;=Deflactor!$BQ$302,AU82&lt;Deflactor!$BQ$303), Deflactor!$BP$302, IF(AND(AU82&gt;=Deflactor!$BQ$303,AU82&lt;Deflactor!$BQ$304), Deflactor!$BP$303, IF(AND(AU82&gt;=Deflactor!$BQ$304,AU82&lt;Deflactor!$BQ$305), Deflactor!$BP$304, IF(AND(AU82&gt;=Deflactor!$BQ$305,AU82&lt;Deflactor!$BQ$306), Deflactor!$BP$305, IF(AND(AU82&gt;=Deflactor!$BQ$306,AU82&lt;Deflactor!$BQ$307), Deflactor!$BP$306, Deflactor!$BP$307) ) ) ) ) ) ) ) ) )</f>
        <v>8</v>
      </c>
    </row>
    <row r="83" spans="1:48" x14ac:dyDescent="0.25">
      <c r="A83" s="3">
        <v>2016</v>
      </c>
      <c r="B83" s="3" t="s">
        <v>124</v>
      </c>
      <c r="C83" s="3" t="s">
        <v>7</v>
      </c>
      <c r="D83" s="3" t="s">
        <v>40</v>
      </c>
      <c r="E83" s="3" t="s">
        <v>43</v>
      </c>
      <c r="F83" s="3" t="s">
        <v>89</v>
      </c>
      <c r="G83" s="3" t="s">
        <v>723</v>
      </c>
      <c r="H83" s="13">
        <v>2008</v>
      </c>
      <c r="I83" s="13" t="s">
        <v>623</v>
      </c>
      <c r="J83" s="10">
        <f xml:space="preserve"> 33740927 * 1000</f>
        <v>33740927000</v>
      </c>
      <c r="K83" s="3" t="s">
        <v>2281</v>
      </c>
      <c r="L83" s="3" t="s">
        <v>1336</v>
      </c>
      <c r="M83" s="3" t="s">
        <v>1337</v>
      </c>
      <c r="N83" s="3" t="s">
        <v>1338</v>
      </c>
      <c r="O83" s="3" t="s">
        <v>1339</v>
      </c>
      <c r="P83" s="3"/>
      <c r="Q83" s="3"/>
      <c r="R83" s="3" t="s">
        <v>1340</v>
      </c>
      <c r="S83" s="3" t="s">
        <v>1341</v>
      </c>
      <c r="T83" s="3" t="s">
        <v>1342</v>
      </c>
      <c r="U83" s="3" t="s">
        <v>1611</v>
      </c>
      <c r="V83" s="3"/>
      <c r="W83" s="10">
        <f>IF( J83="s.i", "s.i", IF(ISBLANK(J83),"Actualizando información",IFERROR(J83 / VLOOKUP(A83,Deflactor!$G$3:$H$64,2,0),"Revisar error" )))</f>
        <v>29056725512.718685</v>
      </c>
      <c r="AR83" s="10">
        <f t="shared" si="3"/>
        <v>22728030000</v>
      </c>
      <c r="AT83" s="46">
        <f t="shared" si="2"/>
        <v>22728030000</v>
      </c>
      <c r="AU83" s="54">
        <f xml:space="preserve"> IFERROR(ROUND(AT83 / VLOOKUP(A83,Tabla1[#All],2,0),0),"s.i")</f>
        <v>33579996</v>
      </c>
      <c r="AV83" s="33">
        <f xml:space="preserve"> IF(AU83="s.i", "s.i", IF(AND(AU83&gt;=Deflactor!$BQ$298,AU83&lt;Deflactor!$BQ$299), Deflactor!$BP$298, IF(AND(AU83&gt;=Deflactor!$BQ$299,AU83&lt;Deflactor!$BQ$300), Deflactor!$BP$299, IF(AND(AU83&gt;=Deflactor!$BQ$300,AU83&lt;Deflactor!$BQ$301), Deflactor!$BP$300, IF(AND(AU83&gt;=Deflactor!$BQ$301,AU83&lt;Deflactor!$BQ$302), Deflactor!$BP$301, IF(AND(AU83&gt;=Deflactor!$BQ$302,AU83&lt;Deflactor!$BQ$303), Deflactor!$BP$302, IF(AND(AU83&gt;=Deflactor!$BQ$303,AU83&lt;Deflactor!$BQ$304), Deflactor!$BP$303, IF(AND(AU83&gt;=Deflactor!$BQ$304,AU83&lt;Deflactor!$BQ$305), Deflactor!$BP$304, IF(AND(AU83&gt;=Deflactor!$BQ$305,AU83&lt;Deflactor!$BQ$306), Deflactor!$BP$305, IF(AND(AU83&gt;=Deflactor!$BQ$306,AU83&lt;Deflactor!$BQ$307), Deflactor!$BP$306, Deflactor!$BP$307) ) ) ) ) ) ) ) ) )</f>
        <v>8</v>
      </c>
    </row>
    <row r="84" spans="1:48" x14ac:dyDescent="0.25">
      <c r="A84" s="3">
        <v>2016</v>
      </c>
      <c r="B84" s="3" t="s">
        <v>125</v>
      </c>
      <c r="C84" s="3" t="s">
        <v>7</v>
      </c>
      <c r="D84" s="3" t="s">
        <v>54</v>
      </c>
      <c r="E84" s="3" t="s">
        <v>55</v>
      </c>
      <c r="F84" s="3" t="s">
        <v>89</v>
      </c>
      <c r="G84" s="3" t="s">
        <v>623</v>
      </c>
      <c r="H84" s="13">
        <v>2011</v>
      </c>
      <c r="I84" s="13" t="s">
        <v>623</v>
      </c>
      <c r="J84" s="10">
        <f xml:space="preserve"> 9170.9 * 1000000</f>
        <v>9170900000</v>
      </c>
      <c r="K84" s="3" t="s">
        <v>1658</v>
      </c>
      <c r="L84" s="3" t="s">
        <v>1343</v>
      </c>
      <c r="M84" s="3" t="s">
        <v>1344</v>
      </c>
      <c r="N84" s="3" t="s">
        <v>1345</v>
      </c>
      <c r="O84" s="3"/>
      <c r="P84" s="3"/>
      <c r="Q84" s="3"/>
      <c r="R84" s="3" t="s">
        <v>1346</v>
      </c>
      <c r="S84" s="3" t="s">
        <v>1347</v>
      </c>
      <c r="T84" s="3" t="s">
        <v>1348</v>
      </c>
      <c r="U84" s="3"/>
      <c r="V84" s="3"/>
      <c r="W84" s="10">
        <f>IF( J84="s.i", "s.i", IF(ISBLANK(J84),"Actualizando información",IFERROR(J84 / VLOOKUP(A84,Deflactor!$G$3:$H$64,2,0),"Revisar error" )))</f>
        <v>7897717925.9061785</v>
      </c>
      <c r="AR84" s="34" t="s">
        <v>2357</v>
      </c>
      <c r="AT84" s="46">
        <f>'Notas reunion'!T41</f>
        <v>9363819000</v>
      </c>
      <c r="AU84" s="54">
        <f xml:space="preserve"> IFERROR(ROUND(AT84 / VLOOKUP(A84,Tabla1[#All],2,0),0),"s.i")</f>
        <v>13834767</v>
      </c>
      <c r="AV84" s="33">
        <f xml:space="preserve"> IF(AU84="s.i", "s.i", IF(AND(AU84&gt;=Deflactor!$BQ$298,AU84&lt;Deflactor!$BQ$299), Deflactor!$BP$298, IF(AND(AU84&gt;=Deflactor!$BQ$299,AU84&lt;Deflactor!$BQ$300), Deflactor!$BP$299, IF(AND(AU84&gt;=Deflactor!$BQ$300,AU84&lt;Deflactor!$BQ$301), Deflactor!$BP$300, IF(AND(AU84&gt;=Deflactor!$BQ$301,AU84&lt;Deflactor!$BQ$302), Deflactor!$BP$301, IF(AND(AU84&gt;=Deflactor!$BQ$302,AU84&lt;Deflactor!$BQ$303), Deflactor!$BP$302, IF(AND(AU84&gt;=Deflactor!$BQ$303,AU84&lt;Deflactor!$BQ$304), Deflactor!$BP$303, IF(AND(AU84&gt;=Deflactor!$BQ$304,AU84&lt;Deflactor!$BQ$305), Deflactor!$BP$304, IF(AND(AU84&gt;=Deflactor!$BQ$305,AU84&lt;Deflactor!$BQ$306), Deflactor!$BP$305, IF(AND(AU84&gt;=Deflactor!$BQ$306,AU84&lt;Deflactor!$BQ$307), Deflactor!$BP$306, Deflactor!$BP$307) ) ) ) ) ) ) ) ) )</f>
        <v>5</v>
      </c>
    </row>
    <row r="85" spans="1:48" x14ac:dyDescent="0.25">
      <c r="A85" s="3">
        <v>2016</v>
      </c>
      <c r="B85" s="3" t="s">
        <v>126</v>
      </c>
      <c r="C85" s="3" t="s">
        <v>7</v>
      </c>
      <c r="D85" s="3" t="s">
        <v>64</v>
      </c>
      <c r="E85" s="3" t="s">
        <v>65</v>
      </c>
      <c r="F85" s="3" t="s">
        <v>95</v>
      </c>
      <c r="G85" s="3" t="s">
        <v>723</v>
      </c>
      <c r="H85" s="13">
        <v>2012</v>
      </c>
      <c r="I85" s="13" t="s">
        <v>623</v>
      </c>
      <c r="J85" s="10">
        <f xml:space="preserve"> 57221053 * 1000</f>
        <v>57221053000</v>
      </c>
      <c r="K85" s="3" t="s">
        <v>2290</v>
      </c>
      <c r="L85" s="3" t="s">
        <v>1349</v>
      </c>
      <c r="M85" s="3" t="s">
        <v>1350</v>
      </c>
      <c r="N85" s="3" t="s">
        <v>1351</v>
      </c>
      <c r="O85" s="3" t="s">
        <v>1352</v>
      </c>
      <c r="P85" s="3"/>
      <c r="Q85" s="3"/>
      <c r="R85" s="3" t="s">
        <v>1353</v>
      </c>
      <c r="S85" s="3" t="s">
        <v>1354</v>
      </c>
      <c r="T85" s="3" t="s">
        <v>1355</v>
      </c>
      <c r="U85" s="3"/>
      <c r="V85" s="3"/>
      <c r="W85" s="10">
        <f>IF( J85="s.i", "s.i", IF(ISBLANK(J85),"Actualizando información",IFERROR(J85 / VLOOKUP(A85,Deflactor!$G$3:$H$64,2,0),"Revisar error" )))</f>
        <v>49277141394.773415</v>
      </c>
      <c r="AR85" s="10">
        <f>57221053 * 1000</f>
        <v>57221053000</v>
      </c>
      <c r="AT85" s="46">
        <f t="shared" si="2"/>
        <v>57221053000</v>
      </c>
      <c r="AU85" s="54">
        <f xml:space="preserve"> IFERROR(ROUND(AT85 / VLOOKUP(A85,Tabla1[#All],2,0),0),"s.i")</f>
        <v>84542423</v>
      </c>
      <c r="AV85" s="33">
        <f xml:space="preserve"> IF(AU85="s.i", "s.i", IF(AND(AU85&gt;=Deflactor!$BQ$298,AU85&lt;Deflactor!$BQ$299), Deflactor!$BP$298, IF(AND(AU85&gt;=Deflactor!$BQ$299,AU85&lt;Deflactor!$BQ$300), Deflactor!$BP$299, IF(AND(AU85&gt;=Deflactor!$BQ$300,AU85&lt;Deflactor!$BQ$301), Deflactor!$BP$300, IF(AND(AU85&gt;=Deflactor!$BQ$301,AU85&lt;Deflactor!$BQ$302), Deflactor!$BP$301, IF(AND(AU85&gt;=Deflactor!$BQ$302,AU85&lt;Deflactor!$BQ$303), Deflactor!$BP$302, IF(AND(AU85&gt;=Deflactor!$BQ$303,AU85&lt;Deflactor!$BQ$304), Deflactor!$BP$303, IF(AND(AU85&gt;=Deflactor!$BQ$304,AU85&lt;Deflactor!$BQ$305), Deflactor!$BP$304, IF(AND(AU85&gt;=Deflactor!$BQ$305,AU85&lt;Deflactor!$BQ$306), Deflactor!$BP$305, IF(AND(AU85&gt;=Deflactor!$BQ$306,AU85&lt;Deflactor!$BQ$307), Deflactor!$BP$306, Deflactor!$BP$307) ) ) ) ) ) ) ) ) )</f>
        <v>9</v>
      </c>
    </row>
    <row r="86" spans="1:48" x14ac:dyDescent="0.25">
      <c r="A86" s="3">
        <v>2016</v>
      </c>
      <c r="B86" s="3" t="s">
        <v>127</v>
      </c>
      <c r="C86" s="3" t="s">
        <v>7</v>
      </c>
      <c r="D86" s="3" t="s">
        <v>64</v>
      </c>
      <c r="E86" s="3" t="s">
        <v>128</v>
      </c>
      <c r="F86" s="3" t="s">
        <v>89</v>
      </c>
      <c r="G86" s="3" t="s">
        <v>723</v>
      </c>
      <c r="H86" s="13">
        <v>2001</v>
      </c>
      <c r="I86" s="13" t="s">
        <v>623</v>
      </c>
      <c r="J86" s="10">
        <f xml:space="preserve"> 7905 * 1000000</f>
        <v>7905000000</v>
      </c>
      <c r="K86" s="3" t="s">
        <v>2291</v>
      </c>
      <c r="L86" s="3" t="s">
        <v>1356</v>
      </c>
      <c r="M86" s="3" t="s">
        <v>1357</v>
      </c>
      <c r="N86" s="3" t="s">
        <v>1358</v>
      </c>
      <c r="O86" s="3" t="s">
        <v>1359</v>
      </c>
      <c r="P86" s="3"/>
      <c r="Q86" s="3"/>
      <c r="R86" s="3" t="s">
        <v>1360</v>
      </c>
      <c r="S86" s="3" t="s">
        <v>1361</v>
      </c>
      <c r="T86" s="3" t="s">
        <v>1362</v>
      </c>
      <c r="U86" s="3"/>
      <c r="V86" s="3"/>
      <c r="W86" s="10">
        <f>IF( J86="s.i", "s.i", IF(ISBLANK(J86),"Actualizando información",IFERROR(J86 / VLOOKUP(A86,Deflactor!$G$3:$H$64,2,0),"Revisar error" )))</f>
        <v>6807560894.163969</v>
      </c>
      <c r="AR86" s="10">
        <f>7904996 * 1000</f>
        <v>7904996000</v>
      </c>
      <c r="AT86" s="46">
        <f t="shared" si="2"/>
        <v>7904996000</v>
      </c>
      <c r="AU86" s="54">
        <f xml:space="preserve"> IFERROR(ROUND(AT86 / VLOOKUP(A86,Tabla1[#All],2,0),0),"s.i")</f>
        <v>11679399</v>
      </c>
      <c r="AV86" s="33">
        <f xml:space="preserve"> IF(AU86="s.i", "s.i", IF(AND(AU86&gt;=Deflactor!$BQ$298,AU86&lt;Deflactor!$BQ$299), Deflactor!$BP$298, IF(AND(AU86&gt;=Deflactor!$BQ$299,AU86&lt;Deflactor!$BQ$300), Deflactor!$BP$299, IF(AND(AU86&gt;=Deflactor!$BQ$300,AU86&lt;Deflactor!$BQ$301), Deflactor!$BP$300, IF(AND(AU86&gt;=Deflactor!$BQ$301,AU86&lt;Deflactor!$BQ$302), Deflactor!$BP$301, IF(AND(AU86&gt;=Deflactor!$BQ$302,AU86&lt;Deflactor!$BQ$303), Deflactor!$BP$302, IF(AND(AU86&gt;=Deflactor!$BQ$303,AU86&lt;Deflactor!$BQ$304), Deflactor!$BP$303, IF(AND(AU86&gt;=Deflactor!$BQ$304,AU86&lt;Deflactor!$BQ$305), Deflactor!$BP$304, IF(AND(AU86&gt;=Deflactor!$BQ$305,AU86&lt;Deflactor!$BQ$306), Deflactor!$BP$305, IF(AND(AU86&gt;=Deflactor!$BQ$306,AU86&lt;Deflactor!$BQ$307), Deflactor!$BP$306, Deflactor!$BP$307) ) ) ) ) ) ) ) ) )</f>
        <v>5</v>
      </c>
    </row>
    <row r="87" spans="1:48" x14ac:dyDescent="0.25">
      <c r="A87" s="3">
        <v>2016</v>
      </c>
      <c r="B87" s="3" t="s">
        <v>129</v>
      </c>
      <c r="C87" s="3" t="s">
        <v>7</v>
      </c>
      <c r="D87" s="3" t="s">
        <v>36</v>
      </c>
      <c r="E87" s="3" t="s">
        <v>130</v>
      </c>
      <c r="F87" s="3" t="s">
        <v>95</v>
      </c>
      <c r="G87" s="3" t="s">
        <v>723</v>
      </c>
      <c r="H87" s="13">
        <v>2002</v>
      </c>
      <c r="I87" s="13" t="s">
        <v>623</v>
      </c>
      <c r="J87" s="10">
        <f xml:space="preserve"> 8615 * 1000000</f>
        <v>8615000000</v>
      </c>
      <c r="K87" s="3" t="s">
        <v>2293</v>
      </c>
      <c r="L87" s="3" t="s">
        <v>1049</v>
      </c>
      <c r="M87" s="3" t="s">
        <v>1050</v>
      </c>
      <c r="N87" s="3" t="s">
        <v>1051</v>
      </c>
      <c r="O87" s="3" t="s">
        <v>1052</v>
      </c>
      <c r="P87" s="3"/>
      <c r="Q87" s="3"/>
      <c r="R87" s="3" t="s">
        <v>1053</v>
      </c>
      <c r="S87" s="3" t="s">
        <v>1054</v>
      </c>
      <c r="T87" s="3" t="s">
        <v>1055</v>
      </c>
      <c r="U87" s="3"/>
      <c r="V87" s="3"/>
      <c r="W87" s="10">
        <f>IF( J87="s.i", "s.i", IF(ISBLANK(J87),"Actualizando información",IFERROR(J87 / VLOOKUP(A87,Deflactor!$G$3:$H$64,2,0),"Revisar error" )))</f>
        <v>7418992675.9294872</v>
      </c>
      <c r="AR87" s="10">
        <f>5355117 * 1000</f>
        <v>5355117000</v>
      </c>
      <c r="AT87" s="46">
        <f t="shared" si="2"/>
        <v>5355117000</v>
      </c>
      <c r="AU87" s="54">
        <f xml:space="preserve"> IFERROR(ROUND(AT87 / VLOOKUP(A87,Tabla1[#All],2,0),0),"s.i")</f>
        <v>7912028</v>
      </c>
      <c r="AV87" s="33">
        <f xml:space="preserve"> IF(AU87="s.i", "s.i", IF(AND(AU87&gt;=Deflactor!$BQ$298,AU87&lt;Deflactor!$BQ$299), Deflactor!$BP$298, IF(AND(AU87&gt;=Deflactor!$BQ$299,AU87&lt;Deflactor!$BQ$300), Deflactor!$BP$299, IF(AND(AU87&gt;=Deflactor!$BQ$300,AU87&lt;Deflactor!$BQ$301), Deflactor!$BP$300, IF(AND(AU87&gt;=Deflactor!$BQ$301,AU87&lt;Deflactor!$BQ$302), Deflactor!$BP$301, IF(AND(AU87&gt;=Deflactor!$BQ$302,AU87&lt;Deflactor!$BQ$303), Deflactor!$BP$302, IF(AND(AU87&gt;=Deflactor!$BQ$303,AU87&lt;Deflactor!$BQ$304), Deflactor!$BP$303, IF(AND(AU87&gt;=Deflactor!$BQ$304,AU87&lt;Deflactor!$BQ$305), Deflactor!$BP$304, IF(AND(AU87&gt;=Deflactor!$BQ$305,AU87&lt;Deflactor!$BQ$306), Deflactor!$BP$305, IF(AND(AU87&gt;=Deflactor!$BQ$306,AU87&lt;Deflactor!$BQ$307), Deflactor!$BP$306, Deflactor!$BP$307) ) ) ) ) ) ) ) ) )</f>
        <v>4</v>
      </c>
    </row>
    <row r="88" spans="1:48" x14ac:dyDescent="0.25">
      <c r="A88" s="3">
        <v>2016</v>
      </c>
      <c r="B88" s="3" t="s">
        <v>131</v>
      </c>
      <c r="C88" s="3" t="s">
        <v>7</v>
      </c>
      <c r="D88" s="3" t="s">
        <v>36</v>
      </c>
      <c r="E88" s="3" t="s">
        <v>94</v>
      </c>
      <c r="F88" s="3" t="s">
        <v>95</v>
      </c>
      <c r="G88" s="3" t="s">
        <v>723</v>
      </c>
      <c r="H88" s="13">
        <v>1991</v>
      </c>
      <c r="I88" s="13" t="s">
        <v>623</v>
      </c>
      <c r="J88" s="10">
        <f xml:space="preserve"> 20900 * 1000000</f>
        <v>20900000000</v>
      </c>
      <c r="K88" s="3" t="s">
        <v>1664</v>
      </c>
      <c r="L88" s="3" t="s">
        <v>1056</v>
      </c>
      <c r="M88" s="3" t="s">
        <v>1057</v>
      </c>
      <c r="N88" s="3" t="s">
        <v>1058</v>
      </c>
      <c r="O88" s="3" t="s">
        <v>1059</v>
      </c>
      <c r="P88" s="3"/>
      <c r="Q88" s="3"/>
      <c r="R88" s="3" t="s">
        <v>1060</v>
      </c>
      <c r="S88" s="3" t="s">
        <v>1061</v>
      </c>
      <c r="T88" s="3" t="s">
        <v>1062</v>
      </c>
      <c r="U88" s="3"/>
      <c r="V88" s="3"/>
      <c r="W88" s="10">
        <f>IF( J88="s.i", "s.i", IF(ISBLANK(J88),"Actualizando información",IFERROR(J88 / VLOOKUP(A88,Deflactor!$G$3:$H$64,2,0),"Revisar error" )))</f>
        <v>17998484843.520172</v>
      </c>
      <c r="AR88" s="34">
        <f>20271928 * 1000</f>
        <v>20271928000</v>
      </c>
      <c r="AT88" s="46">
        <f t="shared" si="2"/>
        <v>20271928000</v>
      </c>
      <c r="AU88" s="54">
        <f xml:space="preserve"> IFERROR(ROUND(AT88 / VLOOKUP(A88,Tabla1[#All],2,0),0),"s.i")</f>
        <v>29951178</v>
      </c>
      <c r="AV88" s="33">
        <f xml:space="preserve"> IF(AU88="s.i", "s.i", IF(AND(AU88&gt;=Deflactor!$BQ$298,AU88&lt;Deflactor!$BQ$299), Deflactor!$BP$298, IF(AND(AU88&gt;=Deflactor!$BQ$299,AU88&lt;Deflactor!$BQ$300), Deflactor!$BP$299, IF(AND(AU88&gt;=Deflactor!$BQ$300,AU88&lt;Deflactor!$BQ$301), Deflactor!$BP$300, IF(AND(AU88&gt;=Deflactor!$BQ$301,AU88&lt;Deflactor!$BQ$302), Deflactor!$BP$301, IF(AND(AU88&gt;=Deflactor!$BQ$302,AU88&lt;Deflactor!$BQ$303), Deflactor!$BP$302, IF(AND(AU88&gt;=Deflactor!$BQ$303,AU88&lt;Deflactor!$BQ$304), Deflactor!$BP$303, IF(AND(AU88&gt;=Deflactor!$BQ$304,AU88&lt;Deflactor!$BQ$305), Deflactor!$BP$304, IF(AND(AU88&gt;=Deflactor!$BQ$305,AU88&lt;Deflactor!$BQ$306), Deflactor!$BP$305, IF(AND(AU88&gt;=Deflactor!$BQ$306,AU88&lt;Deflactor!$BQ$307), Deflactor!$BP$306, Deflactor!$BP$307) ) ) ) ) ) ) ) ) )</f>
        <v>7</v>
      </c>
    </row>
    <row r="89" spans="1:48" x14ac:dyDescent="0.25">
      <c r="A89" s="3">
        <v>2016</v>
      </c>
      <c r="B89" s="3" t="s">
        <v>132</v>
      </c>
      <c r="C89" s="3" t="s">
        <v>7</v>
      </c>
      <c r="D89" s="3" t="s">
        <v>36</v>
      </c>
      <c r="E89" s="3" t="s">
        <v>37</v>
      </c>
      <c r="F89" s="3" t="s">
        <v>89</v>
      </c>
      <c r="G89" s="3" t="s">
        <v>723</v>
      </c>
      <c r="H89" s="13">
        <v>2004</v>
      </c>
      <c r="I89" s="13" t="s">
        <v>623</v>
      </c>
      <c r="J89" s="10">
        <f xml:space="preserve"> 1667 * 1000000</f>
        <v>1667000000</v>
      </c>
      <c r="K89" s="3" t="s">
        <v>2296</v>
      </c>
      <c r="L89" s="3" t="s">
        <v>1063</v>
      </c>
      <c r="M89" s="3" t="s">
        <v>1064</v>
      </c>
      <c r="N89" s="3" t="s">
        <v>1065</v>
      </c>
      <c r="O89" s="3" t="s">
        <v>1066</v>
      </c>
      <c r="P89" s="3" t="s">
        <v>1067</v>
      </c>
      <c r="Q89" s="3"/>
      <c r="R89" s="3" t="s">
        <v>1068</v>
      </c>
      <c r="S89" s="3" t="s">
        <v>1069</v>
      </c>
      <c r="T89" s="3" t="s">
        <v>1070</v>
      </c>
      <c r="U89" s="3"/>
      <c r="V89" s="3"/>
      <c r="W89" s="10">
        <f>IF( J89="s.i", "s.i", IF(ISBLANK(J89),"Actualizando información",IFERROR(J89 / VLOOKUP(A89,Deflactor!$G$3:$H$64,2,0),"Revisar error" )))</f>
        <v>1435572929.8635466</v>
      </c>
      <c r="AR89" s="34">
        <f>10738110 * 1000</f>
        <v>10738110000</v>
      </c>
      <c r="AT89" s="46">
        <f t="shared" si="2"/>
        <v>10738110000</v>
      </c>
      <c r="AU89" s="54">
        <f xml:space="preserve"> IFERROR(ROUND(AT89 / VLOOKUP(A89,Tabla1[#All],2,0),0),"s.i")</f>
        <v>15865242</v>
      </c>
      <c r="AV89" s="33">
        <f xml:space="preserve"> IF(AU89="s.i", "s.i", IF(AND(AU89&gt;=Deflactor!$BQ$298,AU89&lt;Deflactor!$BQ$299), Deflactor!$BP$298, IF(AND(AU89&gt;=Deflactor!$BQ$299,AU89&lt;Deflactor!$BQ$300), Deflactor!$BP$299, IF(AND(AU89&gt;=Deflactor!$BQ$300,AU89&lt;Deflactor!$BQ$301), Deflactor!$BP$300, IF(AND(AU89&gt;=Deflactor!$BQ$301,AU89&lt;Deflactor!$BQ$302), Deflactor!$BP$301, IF(AND(AU89&gt;=Deflactor!$BQ$302,AU89&lt;Deflactor!$BQ$303), Deflactor!$BP$302, IF(AND(AU89&gt;=Deflactor!$BQ$303,AU89&lt;Deflactor!$BQ$304), Deflactor!$BP$303, IF(AND(AU89&gt;=Deflactor!$BQ$304,AU89&lt;Deflactor!$BQ$305), Deflactor!$BP$304, IF(AND(AU89&gt;=Deflactor!$BQ$305,AU89&lt;Deflactor!$BQ$306), Deflactor!$BP$305, IF(AND(AU89&gt;=Deflactor!$BQ$306,AU89&lt;Deflactor!$BQ$307), Deflactor!$BP$306, Deflactor!$BP$307) ) ) ) ) ) ) ) ) )</f>
        <v>6</v>
      </c>
    </row>
    <row r="90" spans="1:48" x14ac:dyDescent="0.25">
      <c r="A90" s="3">
        <v>2016</v>
      </c>
      <c r="B90" s="3" t="s">
        <v>133</v>
      </c>
      <c r="C90" s="3" t="s">
        <v>7</v>
      </c>
      <c r="D90" s="3" t="s">
        <v>36</v>
      </c>
      <c r="E90" s="3" t="s">
        <v>37</v>
      </c>
      <c r="F90" s="3" t="s">
        <v>89</v>
      </c>
      <c r="G90" s="3" t="s">
        <v>723</v>
      </c>
      <c r="H90" s="13">
        <v>2002</v>
      </c>
      <c r="I90" s="13" t="s">
        <v>623</v>
      </c>
      <c r="J90" s="10" t="s">
        <v>623</v>
      </c>
      <c r="K90" s="3" t="s">
        <v>132</v>
      </c>
      <c r="L90" s="3" t="s">
        <v>2294</v>
      </c>
      <c r="M90" s="3" t="s">
        <v>1071</v>
      </c>
      <c r="N90" s="3" t="s">
        <v>1072</v>
      </c>
      <c r="O90" s="3"/>
      <c r="P90" s="3"/>
      <c r="Q90" s="3"/>
      <c r="R90" s="3" t="s">
        <v>1073</v>
      </c>
      <c r="S90" s="3" t="s">
        <v>1074</v>
      </c>
      <c r="T90" s="3" t="s">
        <v>1075</v>
      </c>
      <c r="U90" s="3"/>
      <c r="V90" s="3"/>
      <c r="W90" s="10" t="str">
        <f>IF( J90="s.i", "s.i", IF(ISBLANK(J90),"Actualizando información",IFERROR(J90 / VLOOKUP(A90,Deflactor!$G$3:$H$64,2,0),"Revisar error" )))</f>
        <v>s.i</v>
      </c>
      <c r="AR90" s="34">
        <f>10738110 * 1000</f>
        <v>10738110000</v>
      </c>
      <c r="AT90" s="46">
        <f t="shared" si="2"/>
        <v>10738110000</v>
      </c>
      <c r="AU90" s="54">
        <f xml:space="preserve"> IFERROR(ROUND(AT90 / VLOOKUP(A90,Tabla1[#All],2,0),0),"s.i")</f>
        <v>15865242</v>
      </c>
      <c r="AV90" s="33">
        <f xml:space="preserve"> IF(AU90="s.i", "s.i", IF(AND(AU90&gt;=Deflactor!$BQ$298,AU90&lt;Deflactor!$BQ$299), Deflactor!$BP$298, IF(AND(AU90&gt;=Deflactor!$BQ$299,AU90&lt;Deflactor!$BQ$300), Deflactor!$BP$299, IF(AND(AU90&gt;=Deflactor!$BQ$300,AU90&lt;Deflactor!$BQ$301), Deflactor!$BP$300, IF(AND(AU90&gt;=Deflactor!$BQ$301,AU90&lt;Deflactor!$BQ$302), Deflactor!$BP$301, IF(AND(AU90&gt;=Deflactor!$BQ$302,AU90&lt;Deflactor!$BQ$303), Deflactor!$BP$302, IF(AND(AU90&gt;=Deflactor!$BQ$303,AU90&lt;Deflactor!$BQ$304), Deflactor!$BP$303, IF(AND(AU90&gt;=Deflactor!$BQ$304,AU90&lt;Deflactor!$BQ$305), Deflactor!$BP$304, IF(AND(AU90&gt;=Deflactor!$BQ$305,AU90&lt;Deflactor!$BQ$306), Deflactor!$BP$305, IF(AND(AU90&gt;=Deflactor!$BQ$306,AU90&lt;Deflactor!$BQ$307), Deflactor!$BP$306, Deflactor!$BP$307) ) ) ) ) ) ) ) ) )</f>
        <v>6</v>
      </c>
    </row>
    <row r="91" spans="1:48" x14ac:dyDescent="0.25">
      <c r="A91" s="3">
        <v>2016</v>
      </c>
      <c r="B91" s="3" t="s">
        <v>134</v>
      </c>
      <c r="C91" s="3" t="s">
        <v>7</v>
      </c>
      <c r="D91" s="3" t="s">
        <v>20</v>
      </c>
      <c r="E91" s="3" t="s">
        <v>23</v>
      </c>
      <c r="F91" s="3" t="s">
        <v>89</v>
      </c>
      <c r="G91" s="3" t="s">
        <v>623</v>
      </c>
      <c r="H91" s="13">
        <v>2013</v>
      </c>
      <c r="I91" s="13" t="s">
        <v>623</v>
      </c>
      <c r="J91" s="10">
        <f xml:space="preserve"> 220144578 * 1000</f>
        <v>220144578000</v>
      </c>
      <c r="K91" s="3" t="s">
        <v>1656</v>
      </c>
      <c r="L91" s="3" t="s">
        <v>998</v>
      </c>
      <c r="M91" s="3" t="s">
        <v>999</v>
      </c>
      <c r="N91" s="3" t="s">
        <v>1000</v>
      </c>
      <c r="O91" s="3"/>
      <c r="P91" s="3"/>
      <c r="Q91" s="3"/>
      <c r="R91" s="3" t="s">
        <v>1001</v>
      </c>
      <c r="S91" s="3" t="s">
        <v>1002</v>
      </c>
      <c r="T91" s="3" t="s">
        <v>1003</v>
      </c>
      <c r="U91" s="3"/>
      <c r="V91" s="3"/>
      <c r="W91" s="10">
        <f>IF( J91="s.i", "s.i", IF(ISBLANK(J91),"Actualizando información",IFERROR(J91 / VLOOKUP(A91,Deflactor!$G$3:$H$64,2,0),"Revisar error" )))</f>
        <v>189582241651.49014</v>
      </c>
      <c r="AR91" s="34">
        <f>32395873 * 1000</f>
        <v>32395873000</v>
      </c>
      <c r="AT91" s="46">
        <f t="shared" si="2"/>
        <v>32395873000</v>
      </c>
      <c r="AU91" s="54">
        <f xml:space="preserve"> IFERROR(ROUND(AT91 / VLOOKUP(A91,Tabla1[#All],2,0),0),"s.i")</f>
        <v>47863950</v>
      </c>
      <c r="AV91" s="33">
        <f xml:space="preserve"> IF(AU91="s.i", "s.i", IF(AND(AU91&gt;=Deflactor!$BQ$298,AU91&lt;Deflactor!$BQ$299), Deflactor!$BP$298, IF(AND(AU91&gt;=Deflactor!$BQ$299,AU91&lt;Deflactor!$BQ$300), Deflactor!$BP$299, IF(AND(AU91&gt;=Deflactor!$BQ$300,AU91&lt;Deflactor!$BQ$301), Deflactor!$BP$300, IF(AND(AU91&gt;=Deflactor!$BQ$301,AU91&lt;Deflactor!$BQ$302), Deflactor!$BP$301, IF(AND(AU91&gt;=Deflactor!$BQ$302,AU91&lt;Deflactor!$BQ$303), Deflactor!$BP$302, IF(AND(AU91&gt;=Deflactor!$BQ$303,AU91&lt;Deflactor!$BQ$304), Deflactor!$BP$303, IF(AND(AU91&gt;=Deflactor!$BQ$304,AU91&lt;Deflactor!$BQ$305), Deflactor!$BP$304, IF(AND(AU91&gt;=Deflactor!$BQ$305,AU91&lt;Deflactor!$BQ$306), Deflactor!$BP$305, IF(AND(AU91&gt;=Deflactor!$BQ$306,AU91&lt;Deflactor!$BQ$307), Deflactor!$BP$306, Deflactor!$BP$307) ) ) ) ) ) ) ) ) )</f>
        <v>8</v>
      </c>
    </row>
    <row r="92" spans="1:48" x14ac:dyDescent="0.25">
      <c r="A92" s="3">
        <v>2016</v>
      </c>
      <c r="B92" s="3" t="s">
        <v>135</v>
      </c>
      <c r="C92" s="3" t="s">
        <v>7</v>
      </c>
      <c r="D92" s="3" t="s">
        <v>32</v>
      </c>
      <c r="E92" s="3" t="s">
        <v>33</v>
      </c>
      <c r="F92" s="3" t="s">
        <v>89</v>
      </c>
      <c r="G92" s="3" t="s">
        <v>623</v>
      </c>
      <c r="H92" s="13">
        <v>2009</v>
      </c>
      <c r="I92" s="13" t="s">
        <v>623</v>
      </c>
      <c r="J92" s="10">
        <f xml:space="preserve"> 23091 * 1000000</f>
        <v>23091000000</v>
      </c>
      <c r="K92" s="3" t="s">
        <v>1653</v>
      </c>
      <c r="L92" s="3" t="s">
        <v>1076</v>
      </c>
      <c r="M92" s="3" t="s">
        <v>1077</v>
      </c>
      <c r="N92" s="3" t="s">
        <v>1078</v>
      </c>
      <c r="O92" s="3"/>
      <c r="P92" s="3"/>
      <c r="Q92" s="3"/>
      <c r="R92" s="3" t="s">
        <v>1079</v>
      </c>
      <c r="S92" s="3" t="s">
        <v>1080</v>
      </c>
      <c r="T92" s="3" t="s">
        <v>1081</v>
      </c>
      <c r="U92" s="3"/>
      <c r="V92" s="3"/>
      <c r="W92" s="10">
        <f>IF( J92="s.i", "s.i", IF(ISBLANK(J92),"Actualizando información",IFERROR(J92 / VLOOKUP(A92,Deflactor!$G$3:$H$64,2,0),"Revisar error" )))</f>
        <v>19885311651.757141</v>
      </c>
      <c r="AR92" s="34" t="s">
        <v>2357</v>
      </c>
      <c r="AT92" s="46">
        <f>'Notas reunion'!T42</f>
        <v>13206000000</v>
      </c>
      <c r="AU92" s="54">
        <f xml:space="preserve"> IFERROR(ROUND(AT92 / VLOOKUP(A92,Tabla1[#All],2,0),0),"s.i")</f>
        <v>19511477</v>
      </c>
      <c r="AV92" s="33">
        <f xml:space="preserve"> IF(AU92="s.i", "s.i", IF(AND(AU92&gt;=Deflactor!$BQ$298,AU92&lt;Deflactor!$BQ$299), Deflactor!$BP$298, IF(AND(AU92&gt;=Deflactor!$BQ$299,AU92&lt;Deflactor!$BQ$300), Deflactor!$BP$299, IF(AND(AU92&gt;=Deflactor!$BQ$300,AU92&lt;Deflactor!$BQ$301), Deflactor!$BP$300, IF(AND(AU92&gt;=Deflactor!$BQ$301,AU92&lt;Deflactor!$BQ$302), Deflactor!$BP$301, IF(AND(AU92&gt;=Deflactor!$BQ$302,AU92&lt;Deflactor!$BQ$303), Deflactor!$BP$302, IF(AND(AU92&gt;=Deflactor!$BQ$303,AU92&lt;Deflactor!$BQ$304), Deflactor!$BP$303, IF(AND(AU92&gt;=Deflactor!$BQ$304,AU92&lt;Deflactor!$BQ$305), Deflactor!$BP$304, IF(AND(AU92&gt;=Deflactor!$BQ$305,AU92&lt;Deflactor!$BQ$306), Deflactor!$BP$305, IF(AND(AU92&gt;=Deflactor!$BQ$306,AU92&lt;Deflactor!$BQ$307), Deflactor!$BP$306, Deflactor!$BP$307) ) ) ) ) ) ) ) ) )</f>
        <v>6</v>
      </c>
    </row>
    <row r="93" spans="1:48" x14ac:dyDescent="0.25">
      <c r="A93" s="3">
        <v>2016</v>
      </c>
      <c r="B93" s="3" t="s">
        <v>136</v>
      </c>
      <c r="C93" s="3" t="s">
        <v>67</v>
      </c>
      <c r="D93" s="3" t="s">
        <v>20</v>
      </c>
      <c r="E93" s="3" t="s">
        <v>23</v>
      </c>
      <c r="F93" s="3" t="s">
        <v>10</v>
      </c>
      <c r="G93" s="3" t="s">
        <v>723</v>
      </c>
      <c r="H93" s="13">
        <v>2007</v>
      </c>
      <c r="I93" s="13" t="s">
        <v>623</v>
      </c>
      <c r="J93" s="10">
        <f xml:space="preserve"> 6390025 * 1000</f>
        <v>6390025000</v>
      </c>
      <c r="K93" s="3" t="s">
        <v>1761</v>
      </c>
      <c r="L93" s="3" t="s">
        <v>1760</v>
      </c>
      <c r="M93" s="3" t="s">
        <v>1082</v>
      </c>
      <c r="N93" s="3" t="s">
        <v>1083</v>
      </c>
      <c r="O93" s="3" t="s">
        <v>1084</v>
      </c>
      <c r="P93" s="3" t="s">
        <v>1085</v>
      </c>
      <c r="Q93" s="3"/>
      <c r="R93" s="3" t="s">
        <v>1086</v>
      </c>
      <c r="S93" s="3" t="s">
        <v>1087</v>
      </c>
      <c r="T93" s="3" t="s">
        <v>1088</v>
      </c>
      <c r="U93" s="3"/>
      <c r="V93" s="3"/>
      <c r="W93" s="10">
        <f>IF( J93="s.i", "s.i", IF(ISBLANK(J93),"Actualizando información",IFERROR(J93 / VLOOKUP(A93,Deflactor!$G$3:$H$64,2,0),"Revisar error" )))</f>
        <v>5502907565.1777506</v>
      </c>
      <c r="AR93" s="10">
        <f>6203908 * 1000</f>
        <v>6203908000</v>
      </c>
      <c r="AT93" s="46">
        <f t="shared" si="2"/>
        <v>6203908000</v>
      </c>
      <c r="AU93" s="54">
        <f xml:space="preserve"> IFERROR(ROUND(AT93 / VLOOKUP(A93,Tabla1[#All],2,0),0),"s.i")</f>
        <v>9166092</v>
      </c>
      <c r="AV93" s="33">
        <f xml:space="preserve"> IF(AU93="s.i", "s.i", IF(AND(AU93&gt;=Deflactor!$BQ$298,AU93&lt;Deflactor!$BQ$299), Deflactor!$BP$298, IF(AND(AU93&gt;=Deflactor!$BQ$299,AU93&lt;Deflactor!$BQ$300), Deflactor!$BP$299, IF(AND(AU93&gt;=Deflactor!$BQ$300,AU93&lt;Deflactor!$BQ$301), Deflactor!$BP$300, IF(AND(AU93&gt;=Deflactor!$BQ$301,AU93&lt;Deflactor!$BQ$302), Deflactor!$BP$301, IF(AND(AU93&gt;=Deflactor!$BQ$302,AU93&lt;Deflactor!$BQ$303), Deflactor!$BP$302, IF(AND(AU93&gt;=Deflactor!$BQ$303,AU93&lt;Deflactor!$BQ$304), Deflactor!$BP$303, IF(AND(AU93&gt;=Deflactor!$BQ$304,AU93&lt;Deflactor!$BQ$305), Deflactor!$BP$304, IF(AND(AU93&gt;=Deflactor!$BQ$305,AU93&lt;Deflactor!$BQ$306), Deflactor!$BP$305, IF(AND(AU93&gt;=Deflactor!$BQ$306,AU93&lt;Deflactor!$BQ$307), Deflactor!$BP$306, Deflactor!$BP$307) ) ) ) ) ) ) ) ) )</f>
        <v>4</v>
      </c>
    </row>
    <row r="94" spans="1:48" x14ac:dyDescent="0.25">
      <c r="A94" s="3">
        <v>2016</v>
      </c>
      <c r="B94" s="3" t="s">
        <v>137</v>
      </c>
      <c r="C94" s="3" t="s">
        <v>67</v>
      </c>
      <c r="D94" s="3" t="s">
        <v>138</v>
      </c>
      <c r="E94" s="3" t="s">
        <v>139</v>
      </c>
      <c r="F94" s="3" t="s">
        <v>14</v>
      </c>
      <c r="G94" s="3" t="s">
        <v>723</v>
      </c>
      <c r="H94" s="13">
        <v>2011</v>
      </c>
      <c r="I94" s="13" t="s">
        <v>623</v>
      </c>
      <c r="J94" s="10" t="s">
        <v>623</v>
      </c>
      <c r="K94" s="3"/>
      <c r="L94" s="3" t="s">
        <v>1363</v>
      </c>
      <c r="M94" s="3" t="s">
        <v>1364</v>
      </c>
      <c r="N94" s="3" t="s">
        <v>1365</v>
      </c>
      <c r="O94" s="3"/>
      <c r="P94" s="3"/>
      <c r="Q94" s="3"/>
      <c r="R94" s="3" t="s">
        <v>1366</v>
      </c>
      <c r="S94" s="3" t="s">
        <v>1367</v>
      </c>
      <c r="T94" s="3" t="s">
        <v>1368</v>
      </c>
      <c r="U94" s="3"/>
      <c r="V94" s="3"/>
      <c r="W94" s="10" t="str">
        <f>IF( J94="s.i", "s.i", IF(ISBLANK(J94),"Actualizando información",IFERROR(J94 / VLOOKUP(A94,Deflactor!$G$3:$H$64,2,0),"Revisar error" )))</f>
        <v>s.i</v>
      </c>
      <c r="AR94" s="34">
        <f>498240 * 1000</f>
        <v>498240000</v>
      </c>
      <c r="AT94" s="46">
        <f t="shared" si="2"/>
        <v>498240000</v>
      </c>
      <c r="AU94" s="54">
        <f xml:space="preserve"> IFERROR(ROUND(AT94 / VLOOKUP(A94,Tabla1[#All],2,0),0),"s.i")</f>
        <v>736135</v>
      </c>
      <c r="AV94" s="33">
        <f xml:space="preserve"> IF(AU94="s.i", "s.i", IF(AND(AU94&gt;=Deflactor!$BQ$298,AU94&lt;Deflactor!$BQ$299), Deflactor!$BP$298, IF(AND(AU94&gt;=Deflactor!$BQ$299,AU94&lt;Deflactor!$BQ$300), Deflactor!$BP$299, IF(AND(AU94&gt;=Deflactor!$BQ$300,AU94&lt;Deflactor!$BQ$301), Deflactor!$BP$300, IF(AND(AU94&gt;=Deflactor!$BQ$301,AU94&lt;Deflactor!$BQ$302), Deflactor!$BP$301, IF(AND(AU94&gt;=Deflactor!$BQ$302,AU94&lt;Deflactor!$BQ$303), Deflactor!$BP$302, IF(AND(AU94&gt;=Deflactor!$BQ$303,AU94&lt;Deflactor!$BQ$304), Deflactor!$BP$303, IF(AND(AU94&gt;=Deflactor!$BQ$304,AU94&lt;Deflactor!$BQ$305), Deflactor!$BP$304, IF(AND(AU94&gt;=Deflactor!$BQ$305,AU94&lt;Deflactor!$BQ$306), Deflactor!$BP$305, IF(AND(AU94&gt;=Deflactor!$BQ$306,AU94&lt;Deflactor!$BQ$307), Deflactor!$BP$306, Deflactor!$BP$307) ) ) ) ) ) ) ) ) )</f>
        <v>1</v>
      </c>
    </row>
    <row r="95" spans="1:48" x14ac:dyDescent="0.25">
      <c r="A95" s="3">
        <v>2016</v>
      </c>
      <c r="B95" s="3" t="s">
        <v>140</v>
      </c>
      <c r="C95" s="3" t="s">
        <v>7</v>
      </c>
      <c r="D95" s="3" t="s">
        <v>32</v>
      </c>
      <c r="E95" s="3" t="s">
        <v>33</v>
      </c>
      <c r="F95" s="3" t="s">
        <v>89</v>
      </c>
      <c r="G95" s="3" t="s">
        <v>623</v>
      </c>
      <c r="H95" s="13">
        <v>2009</v>
      </c>
      <c r="I95" s="13" t="s">
        <v>623</v>
      </c>
      <c r="J95" s="10">
        <f xml:space="preserve"> 23091 * 1000000</f>
        <v>23091000000</v>
      </c>
      <c r="K95" s="3" t="s">
        <v>1653</v>
      </c>
      <c r="L95" s="3" t="s">
        <v>1076</v>
      </c>
      <c r="M95" s="3" t="s">
        <v>1077</v>
      </c>
      <c r="N95" s="3" t="s">
        <v>1078</v>
      </c>
      <c r="O95" s="3"/>
      <c r="P95" s="3"/>
      <c r="Q95" s="3"/>
      <c r="R95" s="3" t="s">
        <v>1079</v>
      </c>
      <c r="S95" s="3" t="s">
        <v>1080</v>
      </c>
      <c r="T95" s="3" t="s">
        <v>1081</v>
      </c>
      <c r="U95" s="3"/>
      <c r="V95" s="3"/>
      <c r="W95" s="10">
        <f>IF( J95="s.i", "s.i", IF(ISBLANK(J95),"Actualizando información",IFERROR(J95 / VLOOKUP(A95,Deflactor!$G$3:$H$64,2,0),"Revisar error" )))</f>
        <v>19885311651.757141</v>
      </c>
      <c r="AR95" s="34" t="s">
        <v>2357</v>
      </c>
      <c r="AT95" s="46">
        <f>'Notas reunion'!T43</f>
        <v>9824000000</v>
      </c>
      <c r="AU95" s="54">
        <f xml:space="preserve"> IFERROR(ROUND(AT95 / VLOOKUP(A95,Tabla1[#All],2,0),0),"s.i")</f>
        <v>14514671</v>
      </c>
      <c r="AV95" s="33">
        <f xml:space="preserve"> IF(AU95="s.i", "s.i", IF(AND(AU95&gt;=Deflactor!$BQ$298,AU95&lt;Deflactor!$BQ$299), Deflactor!$BP$298, IF(AND(AU95&gt;=Deflactor!$BQ$299,AU95&lt;Deflactor!$BQ$300), Deflactor!$BP$299, IF(AND(AU95&gt;=Deflactor!$BQ$300,AU95&lt;Deflactor!$BQ$301), Deflactor!$BP$300, IF(AND(AU95&gt;=Deflactor!$BQ$301,AU95&lt;Deflactor!$BQ$302), Deflactor!$BP$301, IF(AND(AU95&gt;=Deflactor!$BQ$302,AU95&lt;Deflactor!$BQ$303), Deflactor!$BP$302, IF(AND(AU95&gt;=Deflactor!$BQ$303,AU95&lt;Deflactor!$BQ$304), Deflactor!$BP$303, IF(AND(AU95&gt;=Deflactor!$BQ$304,AU95&lt;Deflactor!$BQ$305), Deflactor!$BP$304, IF(AND(AU95&gt;=Deflactor!$BQ$305,AU95&lt;Deflactor!$BQ$306), Deflactor!$BP$305, IF(AND(AU95&gt;=Deflactor!$BQ$306,AU95&lt;Deflactor!$BQ$307), Deflactor!$BP$306, Deflactor!$BP$307) ) ) ) ) ) ) ) ) )</f>
        <v>5</v>
      </c>
    </row>
    <row r="96" spans="1:48" x14ac:dyDescent="0.25">
      <c r="A96" s="3">
        <v>2016</v>
      </c>
      <c r="B96" s="3" t="s">
        <v>141</v>
      </c>
      <c r="C96" s="3" t="s">
        <v>7</v>
      </c>
      <c r="D96" s="3" t="s">
        <v>32</v>
      </c>
      <c r="E96" s="3" t="s">
        <v>33</v>
      </c>
      <c r="F96" s="3" t="s">
        <v>95</v>
      </c>
      <c r="G96" s="3" t="s">
        <v>623</v>
      </c>
      <c r="H96" s="13">
        <v>2011</v>
      </c>
      <c r="I96" s="13" t="s">
        <v>623</v>
      </c>
      <c r="J96" s="10">
        <f xml:space="preserve"> 75570 * 1000000</f>
        <v>75570000000</v>
      </c>
      <c r="K96" s="3" t="s">
        <v>2297</v>
      </c>
      <c r="L96" s="3" t="s">
        <v>1089</v>
      </c>
      <c r="M96" s="3" t="s">
        <v>1090</v>
      </c>
      <c r="N96" s="3" t="s">
        <v>1091</v>
      </c>
      <c r="O96" s="3" t="s">
        <v>1092</v>
      </c>
      <c r="P96" s="3" t="s">
        <v>1093</v>
      </c>
      <c r="Q96" s="3"/>
      <c r="R96" s="3" t="s">
        <v>1094</v>
      </c>
      <c r="S96" s="3" t="s">
        <v>1095</v>
      </c>
      <c r="T96" s="3" t="s">
        <v>1096</v>
      </c>
      <c r="U96" s="3"/>
      <c r="V96" s="3"/>
      <c r="W96" s="10">
        <f>IF( J96="s.i", "s.i", IF(ISBLANK(J96),"Actualizando información",IFERROR(J96 / VLOOKUP(A96,Deflactor!$G$3:$H$64,2,0),"Revisar error" )))</f>
        <v>65078732039.465042</v>
      </c>
      <c r="AR96" s="34" t="s">
        <v>2357</v>
      </c>
      <c r="AT96" s="46" t="str">
        <f>'Notas reunion'!T44</f>
        <v>s.i</v>
      </c>
      <c r="AU96" s="54" t="str">
        <f xml:space="preserve"> IFERROR(ROUND(AT96 / VLOOKUP(A96,Tabla1[#All],2,0),0),"s.i")</f>
        <v>s.i</v>
      </c>
      <c r="AV96" s="33" t="str">
        <f xml:space="preserve"> IF(AU96="s.i", "s.i", IF(AND(AU96&gt;=Deflactor!$BQ$298,AU96&lt;Deflactor!$BQ$299), Deflactor!$BP$298, IF(AND(AU96&gt;=Deflactor!$BQ$299,AU96&lt;Deflactor!$BQ$300), Deflactor!$BP$299, IF(AND(AU96&gt;=Deflactor!$BQ$300,AU96&lt;Deflactor!$BQ$301), Deflactor!$BP$300, IF(AND(AU96&gt;=Deflactor!$BQ$301,AU96&lt;Deflactor!$BQ$302), Deflactor!$BP$301, IF(AND(AU96&gt;=Deflactor!$BQ$302,AU96&lt;Deflactor!$BQ$303), Deflactor!$BP$302, IF(AND(AU96&gt;=Deflactor!$BQ$303,AU96&lt;Deflactor!$BQ$304), Deflactor!$BP$303, IF(AND(AU96&gt;=Deflactor!$BQ$304,AU96&lt;Deflactor!$BQ$305), Deflactor!$BP$304, IF(AND(AU96&gt;=Deflactor!$BQ$305,AU96&lt;Deflactor!$BQ$306), Deflactor!$BP$305, IF(AND(AU96&gt;=Deflactor!$BQ$306,AU96&lt;Deflactor!$BQ$307), Deflactor!$BP$306, Deflactor!$BP$307) ) ) ) ) ) ) ) ) )</f>
        <v>s.i</v>
      </c>
    </row>
    <row r="97" spans="1:48" x14ac:dyDescent="0.25">
      <c r="A97" s="3">
        <v>2016</v>
      </c>
      <c r="B97" s="3" t="s">
        <v>142</v>
      </c>
      <c r="C97" s="3" t="s">
        <v>7</v>
      </c>
      <c r="D97" s="3" t="s">
        <v>32</v>
      </c>
      <c r="E97" s="3" t="s">
        <v>33</v>
      </c>
      <c r="F97" s="3" t="s">
        <v>89</v>
      </c>
      <c r="G97" s="3" t="s">
        <v>623</v>
      </c>
      <c r="H97" s="13">
        <v>2011</v>
      </c>
      <c r="I97" s="13" t="s">
        <v>623</v>
      </c>
      <c r="J97" s="10">
        <f xml:space="preserve"> 75570 * 1000000</f>
        <v>75570000000</v>
      </c>
      <c r="K97" s="3" t="s">
        <v>2297</v>
      </c>
      <c r="L97" s="3" t="s">
        <v>1089</v>
      </c>
      <c r="M97" s="3" t="s">
        <v>1090</v>
      </c>
      <c r="N97" s="3" t="s">
        <v>1091</v>
      </c>
      <c r="O97" s="3" t="s">
        <v>1092</v>
      </c>
      <c r="P97" s="3" t="s">
        <v>1093</v>
      </c>
      <c r="Q97" s="3"/>
      <c r="R97" s="3" t="s">
        <v>1094</v>
      </c>
      <c r="S97" s="3" t="s">
        <v>1095</v>
      </c>
      <c r="T97" s="3" t="s">
        <v>1096</v>
      </c>
      <c r="U97" s="3"/>
      <c r="V97" s="3"/>
      <c r="W97" s="10">
        <f>IF( J97="s.i", "s.i", IF(ISBLANK(J97),"Actualizando información",IFERROR(J97 / VLOOKUP(A97,Deflactor!$G$3:$H$64,2,0),"Revisar error" )))</f>
        <v>65078732039.465042</v>
      </c>
      <c r="AR97" s="34" t="s">
        <v>2357</v>
      </c>
      <c r="AT97" s="46">
        <f>'Notas reunion'!T45</f>
        <v>6647388000</v>
      </c>
      <c r="AU97" s="54">
        <f xml:space="preserve"> IFERROR(ROUND(AT97 / VLOOKUP(A97,Tabla1[#All],2,0),0),"s.i")</f>
        <v>9821320</v>
      </c>
      <c r="AV97" s="33">
        <f xml:space="preserve"> IF(AU97="s.i", "s.i", IF(AND(AU97&gt;=Deflactor!$BQ$298,AU97&lt;Deflactor!$BQ$299), Deflactor!$BP$298, IF(AND(AU97&gt;=Deflactor!$BQ$299,AU97&lt;Deflactor!$BQ$300), Deflactor!$BP$299, IF(AND(AU97&gt;=Deflactor!$BQ$300,AU97&lt;Deflactor!$BQ$301), Deflactor!$BP$300, IF(AND(AU97&gt;=Deflactor!$BQ$301,AU97&lt;Deflactor!$BQ$302), Deflactor!$BP$301, IF(AND(AU97&gt;=Deflactor!$BQ$302,AU97&lt;Deflactor!$BQ$303), Deflactor!$BP$302, IF(AND(AU97&gt;=Deflactor!$BQ$303,AU97&lt;Deflactor!$BQ$304), Deflactor!$BP$303, IF(AND(AU97&gt;=Deflactor!$BQ$304,AU97&lt;Deflactor!$BQ$305), Deflactor!$BP$304, IF(AND(AU97&gt;=Deflactor!$BQ$305,AU97&lt;Deflactor!$BQ$306), Deflactor!$BP$305, IF(AND(AU97&gt;=Deflactor!$BQ$306,AU97&lt;Deflactor!$BQ$307), Deflactor!$BP$306, Deflactor!$BP$307) ) ) ) ) ) ) ) ) )</f>
        <v>4</v>
      </c>
    </row>
    <row r="98" spans="1:48" x14ac:dyDescent="0.25">
      <c r="A98" s="3">
        <v>2016</v>
      </c>
      <c r="B98" s="3" t="s">
        <v>143</v>
      </c>
      <c r="C98" s="3" t="s">
        <v>7</v>
      </c>
      <c r="D98" s="3" t="s">
        <v>12</v>
      </c>
      <c r="E98" s="3" t="s">
        <v>105</v>
      </c>
      <c r="F98" s="3" t="s">
        <v>89</v>
      </c>
      <c r="G98" s="3" t="s">
        <v>1004</v>
      </c>
      <c r="H98" s="13">
        <v>2010</v>
      </c>
      <c r="I98" s="13" t="s">
        <v>623</v>
      </c>
      <c r="J98" s="10">
        <f xml:space="preserve"> 4899869 * 1000</f>
        <v>4899869000</v>
      </c>
      <c r="K98" s="3" t="s">
        <v>1654</v>
      </c>
      <c r="L98" s="3" t="s">
        <v>1005</v>
      </c>
      <c r="M98" s="3" t="s">
        <v>1006</v>
      </c>
      <c r="N98" s="3" t="s">
        <v>757</v>
      </c>
      <c r="O98" s="3" t="s">
        <v>1007</v>
      </c>
      <c r="P98" s="3" t="s">
        <v>1008</v>
      </c>
      <c r="Q98" s="3"/>
      <c r="R98" s="3" t="s">
        <v>1009</v>
      </c>
      <c r="S98" s="3" t="s">
        <v>1010</v>
      </c>
      <c r="T98" s="3" t="s">
        <v>1011</v>
      </c>
      <c r="U98" s="3" t="s">
        <v>757</v>
      </c>
      <c r="V98" s="3"/>
      <c r="W98" s="10">
        <f>IF( J98="s.i", "s.i", IF(ISBLANK(J98),"Actualizando información",IFERROR(J98 / VLOOKUP(A98,Deflactor!$G$3:$H$64,2,0),"Revisar error" )))</f>
        <v>4219627652.2360926</v>
      </c>
      <c r="AR98" s="34">
        <f>4899869 * 1000</f>
        <v>4899869000</v>
      </c>
      <c r="AT98" s="46">
        <f t="shared" si="2"/>
        <v>4899869000</v>
      </c>
      <c r="AU98" s="54">
        <f xml:space="preserve"> IFERROR(ROUND(AT98 / VLOOKUP(A98,Tabla1[#All],2,0),0),"s.i")</f>
        <v>7239412</v>
      </c>
      <c r="AV98" s="33">
        <f xml:space="preserve"> IF(AU98="s.i", "s.i", IF(AND(AU98&gt;=Deflactor!$BQ$298,AU98&lt;Deflactor!$BQ$299), Deflactor!$BP$298, IF(AND(AU98&gt;=Deflactor!$BQ$299,AU98&lt;Deflactor!$BQ$300), Deflactor!$BP$299, IF(AND(AU98&gt;=Deflactor!$BQ$300,AU98&lt;Deflactor!$BQ$301), Deflactor!$BP$300, IF(AND(AU98&gt;=Deflactor!$BQ$301,AU98&lt;Deflactor!$BQ$302), Deflactor!$BP$301, IF(AND(AU98&gt;=Deflactor!$BQ$302,AU98&lt;Deflactor!$BQ$303), Deflactor!$BP$302, IF(AND(AU98&gt;=Deflactor!$BQ$303,AU98&lt;Deflactor!$BQ$304), Deflactor!$BP$303, IF(AND(AU98&gt;=Deflactor!$BQ$304,AU98&lt;Deflactor!$BQ$305), Deflactor!$BP$304, IF(AND(AU98&gt;=Deflactor!$BQ$305,AU98&lt;Deflactor!$BQ$306), Deflactor!$BP$305, IF(AND(AU98&gt;=Deflactor!$BQ$306,AU98&lt;Deflactor!$BQ$307), Deflactor!$BP$306, Deflactor!$BP$307) ) ) ) ) ) ) ) ) )</f>
        <v>3</v>
      </c>
    </row>
    <row r="99" spans="1:48" x14ac:dyDescent="0.25">
      <c r="A99" s="3">
        <v>2016</v>
      </c>
      <c r="B99" s="3" t="s">
        <v>144</v>
      </c>
      <c r="C99" s="3" t="s">
        <v>7</v>
      </c>
      <c r="D99" s="3" t="s">
        <v>25</v>
      </c>
      <c r="E99" s="3" t="s">
        <v>26</v>
      </c>
      <c r="F99" s="3" t="s">
        <v>89</v>
      </c>
      <c r="G99" s="3" t="s">
        <v>623</v>
      </c>
      <c r="H99" s="3">
        <v>1995</v>
      </c>
      <c r="I99" s="13" t="s">
        <v>623</v>
      </c>
      <c r="J99" s="10">
        <f xml:space="preserve"> 4905439 * 1000</f>
        <v>4905439000</v>
      </c>
      <c r="K99" s="3" t="s">
        <v>2298</v>
      </c>
      <c r="L99" s="3" t="s">
        <v>1097</v>
      </c>
      <c r="M99" s="3" t="s">
        <v>1098</v>
      </c>
      <c r="N99" s="3" t="s">
        <v>1099</v>
      </c>
      <c r="O99" s="3"/>
      <c r="P99" s="3"/>
      <c r="Q99" s="3"/>
      <c r="R99" s="3" t="s">
        <v>1100</v>
      </c>
      <c r="S99" s="3" t="s">
        <v>1101</v>
      </c>
      <c r="T99" s="3" t="s">
        <v>1102</v>
      </c>
      <c r="U99" s="3"/>
      <c r="V99" s="3"/>
      <c r="W99" s="10">
        <f>IF( J99="s.i", "s.i", IF(ISBLANK(J99),"Actualizando información",IFERROR(J99 / VLOOKUP(A99,Deflactor!$G$3:$H$64,2,0),"Revisar error" )))</f>
        <v>4224424377.6226192</v>
      </c>
      <c r="AR99" s="10">
        <f>4905439 * 1000</f>
        <v>4905439000</v>
      </c>
      <c r="AT99" s="46">
        <f t="shared" si="2"/>
        <v>4905439000</v>
      </c>
      <c r="AU99" s="54">
        <f xml:space="preserve"> IFERROR(ROUND(AT99 / VLOOKUP(A99,Tabla1[#All],2,0),0),"s.i")</f>
        <v>7247642</v>
      </c>
      <c r="AV99" s="33">
        <f xml:space="preserve"> IF(AU99="s.i", "s.i", IF(AND(AU99&gt;=Deflactor!$BQ$298,AU99&lt;Deflactor!$BQ$299), Deflactor!$BP$298, IF(AND(AU99&gt;=Deflactor!$BQ$299,AU99&lt;Deflactor!$BQ$300), Deflactor!$BP$299, IF(AND(AU99&gt;=Deflactor!$BQ$300,AU99&lt;Deflactor!$BQ$301), Deflactor!$BP$300, IF(AND(AU99&gt;=Deflactor!$BQ$301,AU99&lt;Deflactor!$BQ$302), Deflactor!$BP$301, IF(AND(AU99&gt;=Deflactor!$BQ$302,AU99&lt;Deflactor!$BQ$303), Deflactor!$BP$302, IF(AND(AU99&gt;=Deflactor!$BQ$303,AU99&lt;Deflactor!$BQ$304), Deflactor!$BP$303, IF(AND(AU99&gt;=Deflactor!$BQ$304,AU99&lt;Deflactor!$BQ$305), Deflactor!$BP$304, IF(AND(AU99&gt;=Deflactor!$BQ$305,AU99&lt;Deflactor!$BQ$306), Deflactor!$BP$305, IF(AND(AU99&gt;=Deflactor!$BQ$306,AU99&lt;Deflactor!$BQ$307), Deflactor!$BP$306, Deflactor!$BP$307) ) ) ) ) ) ) ) ) )</f>
        <v>3</v>
      </c>
    </row>
    <row r="100" spans="1:48" x14ac:dyDescent="0.25">
      <c r="A100" s="3">
        <v>2016</v>
      </c>
      <c r="B100" s="3" t="s">
        <v>145</v>
      </c>
      <c r="C100" s="3" t="s">
        <v>7</v>
      </c>
      <c r="D100" s="3" t="s">
        <v>40</v>
      </c>
      <c r="E100" s="3" t="s">
        <v>43</v>
      </c>
      <c r="F100" s="3" t="s">
        <v>89</v>
      </c>
      <c r="G100" s="3" t="s">
        <v>723</v>
      </c>
      <c r="H100" s="13">
        <v>2008</v>
      </c>
      <c r="I100" s="13" t="s">
        <v>623</v>
      </c>
      <c r="J100" s="10">
        <f xml:space="preserve"> 33740927 * 1000</f>
        <v>33740927000</v>
      </c>
      <c r="K100" s="3" t="s">
        <v>2281</v>
      </c>
      <c r="L100" s="3" t="s">
        <v>1336</v>
      </c>
      <c r="M100" s="3" t="s">
        <v>1337</v>
      </c>
      <c r="N100" s="3" t="s">
        <v>1338</v>
      </c>
      <c r="O100" s="3" t="s">
        <v>1339</v>
      </c>
      <c r="P100" s="3"/>
      <c r="Q100" s="3"/>
      <c r="R100" s="3" t="s">
        <v>1340</v>
      </c>
      <c r="S100" s="3" t="s">
        <v>1341</v>
      </c>
      <c r="T100" s="3" t="s">
        <v>1342</v>
      </c>
      <c r="U100" s="3"/>
      <c r="V100" s="3"/>
      <c r="W100" s="10">
        <f>IF( J100="s.i", "s.i", IF(ISBLANK(J100),"Actualizando información",IFERROR(J100 / VLOOKUP(A100,Deflactor!$G$3:$H$64,2,0),"Revisar error" )))</f>
        <v>29056725512.718685</v>
      </c>
      <c r="AR100" s="10">
        <f>22728030 * 1000</f>
        <v>22728030000</v>
      </c>
      <c r="AT100" s="46">
        <f t="shared" si="2"/>
        <v>22728030000</v>
      </c>
      <c r="AU100" s="54">
        <f xml:space="preserve"> IFERROR(ROUND(AT100 / VLOOKUP(A100,Tabla1[#All],2,0),0),"s.i")</f>
        <v>33579996</v>
      </c>
      <c r="AV100" s="33">
        <f xml:space="preserve"> IF(AU100="s.i", "s.i", IF(AND(AU100&gt;=Deflactor!$BQ$298,AU100&lt;Deflactor!$BQ$299), Deflactor!$BP$298, IF(AND(AU100&gt;=Deflactor!$BQ$299,AU100&lt;Deflactor!$BQ$300), Deflactor!$BP$299, IF(AND(AU100&gt;=Deflactor!$BQ$300,AU100&lt;Deflactor!$BQ$301), Deflactor!$BP$300, IF(AND(AU100&gt;=Deflactor!$BQ$301,AU100&lt;Deflactor!$BQ$302), Deflactor!$BP$301, IF(AND(AU100&gt;=Deflactor!$BQ$302,AU100&lt;Deflactor!$BQ$303), Deflactor!$BP$302, IF(AND(AU100&gt;=Deflactor!$BQ$303,AU100&lt;Deflactor!$BQ$304), Deflactor!$BP$303, IF(AND(AU100&gt;=Deflactor!$BQ$304,AU100&lt;Deflactor!$BQ$305), Deflactor!$BP$304, IF(AND(AU100&gt;=Deflactor!$BQ$305,AU100&lt;Deflactor!$BQ$306), Deflactor!$BP$305, IF(AND(AU100&gt;=Deflactor!$BQ$306,AU100&lt;Deflactor!$BQ$307), Deflactor!$BP$306, Deflactor!$BP$307) ) ) ) ) ) ) ) ) )</f>
        <v>8</v>
      </c>
    </row>
    <row r="101" spans="1:48" x14ac:dyDescent="0.25">
      <c r="A101" s="3">
        <v>2016</v>
      </c>
      <c r="B101" s="3" t="s">
        <v>146</v>
      </c>
      <c r="C101" s="3" t="s">
        <v>7</v>
      </c>
      <c r="D101" s="3" t="s">
        <v>40</v>
      </c>
      <c r="E101" s="3" t="s">
        <v>43</v>
      </c>
      <c r="F101" s="3" t="s">
        <v>89</v>
      </c>
      <c r="G101" s="3" t="s">
        <v>723</v>
      </c>
      <c r="H101" s="13">
        <v>2008</v>
      </c>
      <c r="I101" s="13" t="s">
        <v>623</v>
      </c>
      <c r="J101" s="10">
        <f t="shared" ref="J101:J103" si="4" xml:space="preserve"> 33740927 * 1000</f>
        <v>33740927000</v>
      </c>
      <c r="K101" s="3" t="s">
        <v>2281</v>
      </c>
      <c r="L101" s="3" t="s">
        <v>1336</v>
      </c>
      <c r="M101" s="3" t="s">
        <v>1337</v>
      </c>
      <c r="N101" s="3" t="s">
        <v>1338</v>
      </c>
      <c r="O101" s="3" t="s">
        <v>1339</v>
      </c>
      <c r="P101" s="3"/>
      <c r="Q101" s="3"/>
      <c r="R101" s="3" t="s">
        <v>1340</v>
      </c>
      <c r="S101" s="3" t="s">
        <v>1341</v>
      </c>
      <c r="T101" s="3" t="s">
        <v>1342</v>
      </c>
      <c r="U101" s="3"/>
      <c r="V101" s="3"/>
      <c r="W101" s="10">
        <f>IF( J101="s.i", "s.i", IF(ISBLANK(J101),"Actualizando información",IFERROR(J101 / VLOOKUP(A101,Deflactor!$G$3:$H$64,2,0),"Revisar error" )))</f>
        <v>29056725512.718685</v>
      </c>
      <c r="AR101" s="10">
        <f>22728030 * 1000</f>
        <v>22728030000</v>
      </c>
      <c r="AT101" s="46">
        <f t="shared" si="2"/>
        <v>22728030000</v>
      </c>
      <c r="AU101" s="54">
        <f xml:space="preserve"> IFERROR(ROUND(AT101 / VLOOKUP(A101,Tabla1[#All],2,0),0),"s.i")</f>
        <v>33579996</v>
      </c>
      <c r="AV101" s="33">
        <f xml:space="preserve"> IF(AU101="s.i", "s.i", IF(AND(AU101&gt;=Deflactor!$BQ$298,AU101&lt;Deflactor!$BQ$299), Deflactor!$BP$298, IF(AND(AU101&gt;=Deflactor!$BQ$299,AU101&lt;Deflactor!$BQ$300), Deflactor!$BP$299, IF(AND(AU101&gt;=Deflactor!$BQ$300,AU101&lt;Deflactor!$BQ$301), Deflactor!$BP$300, IF(AND(AU101&gt;=Deflactor!$BQ$301,AU101&lt;Deflactor!$BQ$302), Deflactor!$BP$301, IF(AND(AU101&gt;=Deflactor!$BQ$302,AU101&lt;Deflactor!$BQ$303), Deflactor!$BP$302, IF(AND(AU101&gt;=Deflactor!$BQ$303,AU101&lt;Deflactor!$BQ$304), Deflactor!$BP$303, IF(AND(AU101&gt;=Deflactor!$BQ$304,AU101&lt;Deflactor!$BQ$305), Deflactor!$BP$304, IF(AND(AU101&gt;=Deflactor!$BQ$305,AU101&lt;Deflactor!$BQ$306), Deflactor!$BP$305, IF(AND(AU101&gt;=Deflactor!$BQ$306,AU101&lt;Deflactor!$BQ$307), Deflactor!$BP$306, Deflactor!$BP$307) ) ) ) ) ) ) ) ) )</f>
        <v>8</v>
      </c>
    </row>
    <row r="102" spans="1:48" x14ac:dyDescent="0.25">
      <c r="A102" s="3">
        <v>2016</v>
      </c>
      <c r="B102" s="3" t="s">
        <v>147</v>
      </c>
      <c r="C102" s="3" t="s">
        <v>7</v>
      </c>
      <c r="D102" s="3" t="s">
        <v>40</v>
      </c>
      <c r="E102" s="3" t="s">
        <v>43</v>
      </c>
      <c r="F102" s="3" t="s">
        <v>89</v>
      </c>
      <c r="G102" s="3" t="s">
        <v>723</v>
      </c>
      <c r="H102" s="13">
        <v>2008</v>
      </c>
      <c r="I102" s="13" t="s">
        <v>623</v>
      </c>
      <c r="J102" s="10">
        <f t="shared" si="4"/>
        <v>33740927000</v>
      </c>
      <c r="K102" s="3" t="s">
        <v>2281</v>
      </c>
      <c r="L102" s="3" t="s">
        <v>1336</v>
      </c>
      <c r="M102" s="3" t="s">
        <v>1337</v>
      </c>
      <c r="N102" s="3" t="s">
        <v>1338</v>
      </c>
      <c r="O102" s="3" t="s">
        <v>1339</v>
      </c>
      <c r="P102" s="3"/>
      <c r="Q102" s="3"/>
      <c r="R102" s="3" t="s">
        <v>1340</v>
      </c>
      <c r="S102" s="3" t="s">
        <v>1341</v>
      </c>
      <c r="T102" s="3" t="s">
        <v>1342</v>
      </c>
      <c r="U102" s="3"/>
      <c r="V102" s="3"/>
      <c r="W102" s="10">
        <f>IF( J102="s.i", "s.i", IF(ISBLANK(J102),"Actualizando información",IFERROR(J102 / VLOOKUP(A102,Deflactor!$G$3:$H$64,2,0),"Revisar error" )))</f>
        <v>29056725512.718685</v>
      </c>
      <c r="AR102" s="10">
        <f>22728030 * 1000</f>
        <v>22728030000</v>
      </c>
      <c r="AT102" s="46">
        <f t="shared" si="2"/>
        <v>22728030000</v>
      </c>
      <c r="AU102" s="54">
        <f xml:space="preserve"> IFERROR(ROUND(AT102 / VLOOKUP(A102,Tabla1[#All],2,0),0),"s.i")</f>
        <v>33579996</v>
      </c>
      <c r="AV102" s="33">
        <f xml:space="preserve"> IF(AU102="s.i", "s.i", IF(AND(AU102&gt;=Deflactor!$BQ$298,AU102&lt;Deflactor!$BQ$299), Deflactor!$BP$298, IF(AND(AU102&gt;=Deflactor!$BQ$299,AU102&lt;Deflactor!$BQ$300), Deflactor!$BP$299, IF(AND(AU102&gt;=Deflactor!$BQ$300,AU102&lt;Deflactor!$BQ$301), Deflactor!$BP$300, IF(AND(AU102&gt;=Deflactor!$BQ$301,AU102&lt;Deflactor!$BQ$302), Deflactor!$BP$301, IF(AND(AU102&gt;=Deflactor!$BQ$302,AU102&lt;Deflactor!$BQ$303), Deflactor!$BP$302, IF(AND(AU102&gt;=Deflactor!$BQ$303,AU102&lt;Deflactor!$BQ$304), Deflactor!$BP$303, IF(AND(AU102&gt;=Deflactor!$BQ$304,AU102&lt;Deflactor!$BQ$305), Deflactor!$BP$304, IF(AND(AU102&gt;=Deflactor!$BQ$305,AU102&lt;Deflactor!$BQ$306), Deflactor!$BP$305, IF(AND(AU102&gt;=Deflactor!$BQ$306,AU102&lt;Deflactor!$BQ$307), Deflactor!$BP$306, Deflactor!$BP$307) ) ) ) ) ) ) ) ) )</f>
        <v>8</v>
      </c>
    </row>
    <row r="103" spans="1:48" x14ac:dyDescent="0.25">
      <c r="A103" s="3">
        <v>2016</v>
      </c>
      <c r="B103" s="3" t="s">
        <v>148</v>
      </c>
      <c r="C103" s="3" t="s">
        <v>7</v>
      </c>
      <c r="D103" s="3" t="s">
        <v>40</v>
      </c>
      <c r="E103" s="3" t="s">
        <v>43</v>
      </c>
      <c r="F103" s="3" t="s">
        <v>89</v>
      </c>
      <c r="G103" s="3" t="s">
        <v>723</v>
      </c>
      <c r="H103" s="13">
        <v>2008</v>
      </c>
      <c r="I103" s="13" t="s">
        <v>623</v>
      </c>
      <c r="J103" s="10">
        <f t="shared" si="4"/>
        <v>33740927000</v>
      </c>
      <c r="K103" s="3" t="s">
        <v>2281</v>
      </c>
      <c r="L103" s="3" t="s">
        <v>1336</v>
      </c>
      <c r="M103" s="3" t="s">
        <v>1337</v>
      </c>
      <c r="N103" s="3" t="s">
        <v>1338</v>
      </c>
      <c r="O103" s="3" t="s">
        <v>1339</v>
      </c>
      <c r="P103" s="3"/>
      <c r="Q103" s="3"/>
      <c r="R103" s="3" t="s">
        <v>1340</v>
      </c>
      <c r="S103" s="3" t="s">
        <v>1341</v>
      </c>
      <c r="T103" s="3" t="s">
        <v>1342</v>
      </c>
      <c r="U103" s="3"/>
      <c r="V103" s="3"/>
      <c r="W103" s="10">
        <f>IF( J103="s.i", "s.i", IF(ISBLANK(J103),"Actualizando información",IFERROR(J103 / VLOOKUP(A103,Deflactor!$G$3:$H$64,2,0),"Revisar error" )))</f>
        <v>29056725512.718685</v>
      </c>
      <c r="AR103" s="10">
        <f>22728030 * 1000</f>
        <v>22728030000</v>
      </c>
      <c r="AT103" s="46">
        <f t="shared" si="2"/>
        <v>22728030000</v>
      </c>
      <c r="AU103" s="54">
        <f xml:space="preserve"> IFERROR(ROUND(AT103 / VLOOKUP(A103,Tabla1[#All],2,0),0),"s.i")</f>
        <v>33579996</v>
      </c>
      <c r="AV103" s="33">
        <f xml:space="preserve"> IF(AU103="s.i", "s.i", IF(AND(AU103&gt;=Deflactor!$BQ$298,AU103&lt;Deflactor!$BQ$299), Deflactor!$BP$298, IF(AND(AU103&gt;=Deflactor!$BQ$299,AU103&lt;Deflactor!$BQ$300), Deflactor!$BP$299, IF(AND(AU103&gt;=Deflactor!$BQ$300,AU103&lt;Deflactor!$BQ$301), Deflactor!$BP$300, IF(AND(AU103&gt;=Deflactor!$BQ$301,AU103&lt;Deflactor!$BQ$302), Deflactor!$BP$301, IF(AND(AU103&gt;=Deflactor!$BQ$302,AU103&lt;Deflactor!$BQ$303), Deflactor!$BP$302, IF(AND(AU103&gt;=Deflactor!$BQ$303,AU103&lt;Deflactor!$BQ$304), Deflactor!$BP$303, IF(AND(AU103&gt;=Deflactor!$BQ$304,AU103&lt;Deflactor!$BQ$305), Deflactor!$BP$304, IF(AND(AU103&gt;=Deflactor!$BQ$305,AU103&lt;Deflactor!$BQ$306), Deflactor!$BP$305, IF(AND(AU103&gt;=Deflactor!$BQ$306,AU103&lt;Deflactor!$BQ$307), Deflactor!$BP$306, Deflactor!$BP$307) ) ) ) ) ) ) ) ) )</f>
        <v>8</v>
      </c>
    </row>
    <row r="104" spans="1:48" x14ac:dyDescent="0.25">
      <c r="A104" s="3">
        <v>2016</v>
      </c>
      <c r="B104" s="3" t="s">
        <v>149</v>
      </c>
      <c r="C104" s="3" t="s">
        <v>67</v>
      </c>
      <c r="D104" s="3" t="s">
        <v>25</v>
      </c>
      <c r="E104" s="3" t="s">
        <v>26</v>
      </c>
      <c r="F104" s="3" t="s">
        <v>10</v>
      </c>
      <c r="G104" s="3" t="s">
        <v>623</v>
      </c>
      <c r="H104" s="13">
        <v>2013</v>
      </c>
      <c r="I104" s="13" t="s">
        <v>623</v>
      </c>
      <c r="J104" s="10" t="s">
        <v>623</v>
      </c>
      <c r="K104" s="3" t="s">
        <v>2300</v>
      </c>
      <c r="L104" s="3" t="s">
        <v>1103</v>
      </c>
      <c r="M104" s="3" t="s">
        <v>1104</v>
      </c>
      <c r="N104" s="3" t="s">
        <v>1105</v>
      </c>
      <c r="O104" s="3" t="s">
        <v>1106</v>
      </c>
      <c r="P104" s="3"/>
      <c r="Q104" s="3"/>
      <c r="R104" s="3" t="s">
        <v>1107</v>
      </c>
      <c r="S104" s="3" t="s">
        <v>1108</v>
      </c>
      <c r="T104" s="3"/>
      <c r="U104" s="3"/>
      <c r="V104" s="3"/>
      <c r="W104" s="10" t="str">
        <f>IF( J104="s.i", "s.i", IF(ISBLANK(J104),"Actualizando información",IFERROR(J104 / VLOOKUP(A104,Deflactor!$G$3:$H$64,2,0),"Revisar error" )))</f>
        <v>s.i</v>
      </c>
      <c r="AR104" s="34">
        <f>142518629 * 1000</f>
        <v>142518629000</v>
      </c>
      <c r="AT104" s="46">
        <f t="shared" si="2"/>
        <v>142518629000</v>
      </c>
      <c r="AU104" s="54">
        <f xml:space="preserve"> IFERROR(ROUND(AT104 / VLOOKUP(A104,Tabla1[#All],2,0),0),"s.i")</f>
        <v>210567084</v>
      </c>
      <c r="AV104" s="33">
        <f xml:space="preserve"> IF(AU104="s.i", "s.i", IF(AND(AU104&gt;=Deflactor!$BQ$298,AU104&lt;Deflactor!$BQ$299), Deflactor!$BP$298, IF(AND(AU104&gt;=Deflactor!$BQ$299,AU104&lt;Deflactor!$BQ$300), Deflactor!$BP$299, IF(AND(AU104&gt;=Deflactor!$BQ$300,AU104&lt;Deflactor!$BQ$301), Deflactor!$BP$300, IF(AND(AU104&gt;=Deflactor!$BQ$301,AU104&lt;Deflactor!$BQ$302), Deflactor!$BP$301, IF(AND(AU104&gt;=Deflactor!$BQ$302,AU104&lt;Deflactor!$BQ$303), Deflactor!$BP$302, IF(AND(AU104&gt;=Deflactor!$BQ$303,AU104&lt;Deflactor!$BQ$304), Deflactor!$BP$303, IF(AND(AU104&gt;=Deflactor!$BQ$304,AU104&lt;Deflactor!$BQ$305), Deflactor!$BP$304, IF(AND(AU104&gt;=Deflactor!$BQ$305,AU104&lt;Deflactor!$BQ$306), Deflactor!$BP$305, IF(AND(AU104&gt;=Deflactor!$BQ$306,AU104&lt;Deflactor!$BQ$307), Deflactor!$BP$306, Deflactor!$BP$307) ) ) ) ) ) ) ) ) )</f>
        <v>10</v>
      </c>
    </row>
    <row r="105" spans="1:48" x14ac:dyDescent="0.25">
      <c r="A105" s="3">
        <v>2016</v>
      </c>
      <c r="B105" s="3" t="s">
        <v>150</v>
      </c>
      <c r="C105" s="3" t="s">
        <v>7</v>
      </c>
      <c r="D105" s="3" t="s">
        <v>25</v>
      </c>
      <c r="E105" s="3" t="s">
        <v>151</v>
      </c>
      <c r="F105" s="3" t="s">
        <v>89</v>
      </c>
      <c r="G105" s="3" t="s">
        <v>623</v>
      </c>
      <c r="H105" s="13">
        <v>2012</v>
      </c>
      <c r="I105" s="13" t="s">
        <v>623</v>
      </c>
      <c r="J105" s="10">
        <f xml:space="preserve"> 11052526 * 1000000</f>
        <v>11052526000000</v>
      </c>
      <c r="K105" s="3" t="s">
        <v>2301</v>
      </c>
      <c r="L105" s="3" t="s">
        <v>1109</v>
      </c>
      <c r="M105" s="3" t="s">
        <v>1110</v>
      </c>
      <c r="N105" s="3" t="s">
        <v>1111</v>
      </c>
      <c r="O105" s="3" t="s">
        <v>1112</v>
      </c>
      <c r="P105" s="3"/>
      <c r="Q105" s="3"/>
      <c r="R105" s="3" t="s">
        <v>1113</v>
      </c>
      <c r="S105" s="3" t="s">
        <v>1114</v>
      </c>
      <c r="T105" s="3" t="s">
        <v>1115</v>
      </c>
      <c r="U105" s="3"/>
      <c r="V105" s="3"/>
      <c r="W105" s="10">
        <f>IF( J105="s.i", "s.i", IF(ISBLANK(J105),"Actualizando información",IFERROR(J105 / VLOOKUP(A105,Deflactor!$G$3:$H$64,2,0),"Revisar error" )))</f>
        <v>9518120655196.7754</v>
      </c>
      <c r="AR105" s="34">
        <f>8818742 * 1000</f>
        <v>8818742000</v>
      </c>
      <c r="AT105" s="46">
        <f t="shared" si="2"/>
        <v>8818742000</v>
      </c>
      <c r="AU105" s="54">
        <f xml:space="preserve"> IFERROR(ROUND(AT105 / VLOOKUP(A105,Tabla1[#All],2,0),0),"s.i")</f>
        <v>13029432</v>
      </c>
      <c r="AV105" s="33">
        <f xml:space="preserve"> IF(AU105="s.i", "s.i", IF(AND(AU105&gt;=Deflactor!$BQ$298,AU105&lt;Deflactor!$BQ$299), Deflactor!$BP$298, IF(AND(AU105&gt;=Deflactor!$BQ$299,AU105&lt;Deflactor!$BQ$300), Deflactor!$BP$299, IF(AND(AU105&gt;=Deflactor!$BQ$300,AU105&lt;Deflactor!$BQ$301), Deflactor!$BP$300, IF(AND(AU105&gt;=Deflactor!$BQ$301,AU105&lt;Deflactor!$BQ$302), Deflactor!$BP$301, IF(AND(AU105&gt;=Deflactor!$BQ$302,AU105&lt;Deflactor!$BQ$303), Deflactor!$BP$302, IF(AND(AU105&gt;=Deflactor!$BQ$303,AU105&lt;Deflactor!$BQ$304), Deflactor!$BP$303, IF(AND(AU105&gt;=Deflactor!$BQ$304,AU105&lt;Deflactor!$BQ$305), Deflactor!$BP$304, IF(AND(AU105&gt;=Deflactor!$BQ$305,AU105&lt;Deflactor!$BQ$306), Deflactor!$BP$305, IF(AND(AU105&gt;=Deflactor!$BQ$306,AU105&lt;Deflactor!$BQ$307), Deflactor!$BP$306, Deflactor!$BP$307) ) ) ) ) ) ) ) ) )</f>
        <v>5</v>
      </c>
    </row>
    <row r="106" spans="1:48" x14ac:dyDescent="0.25">
      <c r="A106" s="3">
        <v>2016</v>
      </c>
      <c r="B106" s="3" t="s">
        <v>152</v>
      </c>
      <c r="C106" s="3" t="s">
        <v>7</v>
      </c>
      <c r="D106" s="3" t="s">
        <v>25</v>
      </c>
      <c r="E106" s="3" t="s">
        <v>153</v>
      </c>
      <c r="F106" s="3" t="s">
        <v>95</v>
      </c>
      <c r="G106" s="3" t="s">
        <v>623</v>
      </c>
      <c r="H106" s="13">
        <v>1993</v>
      </c>
      <c r="I106" s="13" t="s">
        <v>623</v>
      </c>
      <c r="J106" s="10">
        <f xml:space="preserve"> 7301 * 1000000</f>
        <v>7301000000</v>
      </c>
      <c r="K106" s="3" t="s">
        <v>2166</v>
      </c>
      <c r="L106" s="3" t="s">
        <v>1116</v>
      </c>
      <c r="M106" s="3" t="s">
        <v>1117</v>
      </c>
      <c r="N106" s="3" t="s">
        <v>1118</v>
      </c>
      <c r="O106" s="3" t="s">
        <v>1119</v>
      </c>
      <c r="P106" s="3" t="s">
        <v>1120</v>
      </c>
      <c r="Q106" s="3"/>
      <c r="R106" s="3" t="s">
        <v>1121</v>
      </c>
      <c r="S106" s="3" t="s">
        <v>1122</v>
      </c>
      <c r="T106" s="3" t="s">
        <v>1123</v>
      </c>
      <c r="U106" s="3" t="s">
        <v>1150</v>
      </c>
      <c r="V106" s="3"/>
      <c r="W106" s="10">
        <f>IF( J106="s.i", "s.i", IF(ISBLANK(J106),"Actualizando información",IFERROR(J106 / VLOOKUP(A106,Deflactor!$G$3:$H$64,2,0),"Revisar error" )))</f>
        <v>6287413293.9014721</v>
      </c>
      <c r="AR106" s="10">
        <f>5330565 * 1000</f>
        <v>5330565000</v>
      </c>
      <c r="AT106" s="46">
        <f t="shared" si="2"/>
        <v>5330565000</v>
      </c>
      <c r="AU106" s="54">
        <f xml:space="preserve"> IFERROR(ROUND(AT106 / VLOOKUP(A106,Tabla1[#All],2,0),0),"s.i")</f>
        <v>7875753</v>
      </c>
      <c r="AV106" s="33">
        <f xml:space="preserve"> IF(AU106="s.i", "s.i", IF(AND(AU106&gt;=Deflactor!$BQ$298,AU106&lt;Deflactor!$BQ$299), Deflactor!$BP$298, IF(AND(AU106&gt;=Deflactor!$BQ$299,AU106&lt;Deflactor!$BQ$300), Deflactor!$BP$299, IF(AND(AU106&gt;=Deflactor!$BQ$300,AU106&lt;Deflactor!$BQ$301), Deflactor!$BP$300, IF(AND(AU106&gt;=Deflactor!$BQ$301,AU106&lt;Deflactor!$BQ$302), Deflactor!$BP$301, IF(AND(AU106&gt;=Deflactor!$BQ$302,AU106&lt;Deflactor!$BQ$303), Deflactor!$BP$302, IF(AND(AU106&gt;=Deflactor!$BQ$303,AU106&lt;Deflactor!$BQ$304), Deflactor!$BP$303, IF(AND(AU106&gt;=Deflactor!$BQ$304,AU106&lt;Deflactor!$BQ$305), Deflactor!$BP$304, IF(AND(AU106&gt;=Deflactor!$BQ$305,AU106&lt;Deflactor!$BQ$306), Deflactor!$BP$305, IF(AND(AU106&gt;=Deflactor!$BQ$306,AU106&lt;Deflactor!$BQ$307), Deflactor!$BP$306, Deflactor!$BP$307) ) ) ) ) ) ) ) ) )</f>
        <v>4</v>
      </c>
    </row>
    <row r="107" spans="1:48" x14ac:dyDescent="0.25">
      <c r="A107" s="3">
        <v>2015</v>
      </c>
      <c r="B107" s="3" t="s">
        <v>154</v>
      </c>
      <c r="C107" s="3" t="s">
        <v>155</v>
      </c>
      <c r="D107" s="3" t="s">
        <v>8</v>
      </c>
      <c r="E107" s="3" t="s">
        <v>156</v>
      </c>
      <c r="F107" s="3" t="s">
        <v>157</v>
      </c>
      <c r="G107" s="3" t="s">
        <v>723</v>
      </c>
      <c r="H107" s="13">
        <v>1967</v>
      </c>
      <c r="I107" s="13"/>
      <c r="J107" s="10">
        <f xml:space="preserve"> 127596471 * 1000</f>
        <v>127596471000</v>
      </c>
      <c r="K107" s="3" t="s">
        <v>2302</v>
      </c>
      <c r="L107" s="3" t="s">
        <v>2043</v>
      </c>
      <c r="M107" s="3" t="s">
        <v>2044</v>
      </c>
      <c r="N107" s="3" t="s">
        <v>2045</v>
      </c>
      <c r="O107" s="3" t="s">
        <v>2046</v>
      </c>
      <c r="P107" s="3" t="s">
        <v>2047</v>
      </c>
      <c r="Q107" s="3" t="s">
        <v>735</v>
      </c>
      <c r="R107" s="11" t="s">
        <v>2041</v>
      </c>
      <c r="S107" s="11" t="s">
        <v>2042</v>
      </c>
      <c r="T107" s="3"/>
      <c r="U107" s="3"/>
      <c r="V107" s="3"/>
      <c r="W107" s="10">
        <f>IF( J107="s.i", "s.i", IF(ISBLANK(J107),"Actualizando información",IFERROR(J107 / VLOOKUP(A107,Deflactor!$G$3:$H$64,2,0),"Revisar error" )))</f>
        <v>114794104040.638</v>
      </c>
      <c r="AR107" s="10">
        <f>80410508 * 1000</f>
        <v>80410508000</v>
      </c>
      <c r="AT107" s="46">
        <f t="shared" si="2"/>
        <v>80410508000</v>
      </c>
      <c r="AU107" s="54">
        <f xml:space="preserve"> IFERROR(ROUND(AT107 / VLOOKUP(A107,Tabla1[#All],2,0),0),"s.i")</f>
        <v>122905053</v>
      </c>
      <c r="AV107" s="33">
        <f xml:space="preserve"> IF(AU107="s.i", "s.i", IF(AND(AU107&gt;=Deflactor!$BQ$298,AU107&lt;Deflactor!$BQ$299), Deflactor!$BP$298, IF(AND(AU107&gt;=Deflactor!$BQ$299,AU107&lt;Deflactor!$BQ$300), Deflactor!$BP$299, IF(AND(AU107&gt;=Deflactor!$BQ$300,AU107&lt;Deflactor!$BQ$301), Deflactor!$BP$300, IF(AND(AU107&gt;=Deflactor!$BQ$301,AU107&lt;Deflactor!$BQ$302), Deflactor!$BP$301, IF(AND(AU107&gt;=Deflactor!$BQ$302,AU107&lt;Deflactor!$BQ$303), Deflactor!$BP$302, IF(AND(AU107&gt;=Deflactor!$BQ$303,AU107&lt;Deflactor!$BQ$304), Deflactor!$BP$303, IF(AND(AU107&gt;=Deflactor!$BQ$304,AU107&lt;Deflactor!$BQ$305), Deflactor!$BP$304, IF(AND(AU107&gt;=Deflactor!$BQ$305,AU107&lt;Deflactor!$BQ$306), Deflactor!$BP$305, IF(AND(AU107&gt;=Deflactor!$BQ$306,AU107&lt;Deflactor!$BQ$307), Deflactor!$BP$306, Deflactor!$BP$307) ) ) ) ) ) ) ) ) )</f>
        <v>10</v>
      </c>
    </row>
    <row r="108" spans="1:48" x14ac:dyDescent="0.25">
      <c r="A108" s="3">
        <v>2015</v>
      </c>
      <c r="B108" s="3" t="s">
        <v>158</v>
      </c>
      <c r="C108" s="3" t="s">
        <v>67</v>
      </c>
      <c r="D108" s="3" t="s">
        <v>159</v>
      </c>
      <c r="E108" s="3" t="s">
        <v>160</v>
      </c>
      <c r="F108" s="3" t="s">
        <v>89</v>
      </c>
      <c r="G108" s="3" t="s">
        <v>623</v>
      </c>
      <c r="H108" s="3" t="s">
        <v>623</v>
      </c>
      <c r="I108" s="3" t="s">
        <v>623</v>
      </c>
      <c r="J108" s="3" t="s">
        <v>623</v>
      </c>
      <c r="K108" s="3" t="s">
        <v>1648</v>
      </c>
      <c r="L108" s="3" t="s">
        <v>2052</v>
      </c>
      <c r="M108" s="3" t="s">
        <v>2053</v>
      </c>
      <c r="N108" s="3" t="s">
        <v>2054</v>
      </c>
      <c r="O108" s="3" t="s">
        <v>2055</v>
      </c>
      <c r="P108" s="3" t="s">
        <v>2055</v>
      </c>
      <c r="Q108" s="3"/>
      <c r="R108" s="29" t="s">
        <v>2048</v>
      </c>
      <c r="S108" s="11" t="s">
        <v>2049</v>
      </c>
      <c r="T108" s="11" t="s">
        <v>2050</v>
      </c>
      <c r="U108" s="3"/>
      <c r="V108" s="3" t="s">
        <v>2051</v>
      </c>
      <c r="W108" s="10" t="str">
        <f>IF( J108="s.i", "s.i", IF(ISBLANK(J108),"Actualizando información",IFERROR(J108 / VLOOKUP(A108,Deflactor!$G$3:$H$64,2,0),"Revisar error" )))</f>
        <v>s.i</v>
      </c>
      <c r="AR108" s="34">
        <f>6577356 * 1000</f>
        <v>6577356000</v>
      </c>
      <c r="AT108" s="46">
        <f t="shared" si="2"/>
        <v>6577356000</v>
      </c>
      <c r="AU108" s="54">
        <f xml:space="preserve"> IFERROR(ROUND(AT108 / VLOOKUP(A108,Tabla1[#All],2,0),0),"s.i")</f>
        <v>10053292</v>
      </c>
      <c r="AV108" s="33">
        <f xml:space="preserve"> IF(AU108="s.i", "s.i", IF(AND(AU108&gt;=Deflactor!$BQ$298,AU108&lt;Deflactor!$BQ$299), Deflactor!$BP$298, IF(AND(AU108&gt;=Deflactor!$BQ$299,AU108&lt;Deflactor!$BQ$300), Deflactor!$BP$299, IF(AND(AU108&gt;=Deflactor!$BQ$300,AU108&lt;Deflactor!$BQ$301), Deflactor!$BP$300, IF(AND(AU108&gt;=Deflactor!$BQ$301,AU108&lt;Deflactor!$BQ$302), Deflactor!$BP$301, IF(AND(AU108&gt;=Deflactor!$BQ$302,AU108&lt;Deflactor!$BQ$303), Deflactor!$BP$302, IF(AND(AU108&gt;=Deflactor!$BQ$303,AU108&lt;Deflactor!$BQ$304), Deflactor!$BP$303, IF(AND(AU108&gt;=Deflactor!$BQ$304,AU108&lt;Deflactor!$BQ$305), Deflactor!$BP$304, IF(AND(AU108&gt;=Deflactor!$BQ$305,AU108&lt;Deflactor!$BQ$306), Deflactor!$BP$305, IF(AND(AU108&gt;=Deflactor!$BQ$306,AU108&lt;Deflactor!$BQ$307), Deflactor!$BP$306, Deflactor!$BP$307) ) ) ) ) ) ) ) ) )</f>
        <v>5</v>
      </c>
    </row>
    <row r="109" spans="1:48" x14ac:dyDescent="0.25">
      <c r="A109" s="3">
        <v>2015</v>
      </c>
      <c r="B109" s="3" t="s">
        <v>161</v>
      </c>
      <c r="C109" s="3" t="s">
        <v>67</v>
      </c>
      <c r="D109" s="3" t="s">
        <v>40</v>
      </c>
      <c r="E109" s="3" t="s">
        <v>162</v>
      </c>
      <c r="F109" s="3" t="s">
        <v>95</v>
      </c>
      <c r="G109" s="3" t="s">
        <v>623</v>
      </c>
      <c r="H109" s="3" t="s">
        <v>623</v>
      </c>
      <c r="I109" s="3" t="s">
        <v>623</v>
      </c>
      <c r="J109" s="10">
        <v>16815766000</v>
      </c>
      <c r="K109" s="3"/>
      <c r="L109" s="3" t="s">
        <v>2058</v>
      </c>
      <c r="M109" s="3" t="s">
        <v>2062</v>
      </c>
      <c r="N109" s="3" t="s">
        <v>2059</v>
      </c>
      <c r="O109" s="3" t="s">
        <v>2060</v>
      </c>
      <c r="P109" s="3" t="s">
        <v>2061</v>
      </c>
      <c r="Q109" s="3"/>
      <c r="R109" s="29" t="s">
        <v>2056</v>
      </c>
      <c r="S109" s="29" t="s">
        <v>2057</v>
      </c>
      <c r="T109" s="3"/>
      <c r="U109" s="3"/>
      <c r="V109" s="3"/>
      <c r="W109" s="10">
        <f>IF( J109="s.i", "s.i", IF(ISBLANK(J109),"Actualizando información",IFERROR(J109 / VLOOKUP(A109,Deflactor!$G$3:$H$64,2,0),"Revisar error" )))</f>
        <v>15128559407.626745</v>
      </c>
      <c r="AR109" s="10">
        <f xml:space="preserve"> 17464958 * 1000</f>
        <v>17464958000</v>
      </c>
      <c r="AT109" s="46">
        <f t="shared" si="2"/>
        <v>17464958000</v>
      </c>
      <c r="AU109" s="54">
        <f xml:space="preserve"> IFERROR(ROUND(AT109 / VLOOKUP(A109,Tabla1[#All],2,0),0),"s.i")</f>
        <v>26694665</v>
      </c>
      <c r="AV109" s="33">
        <f xml:space="preserve"> IF(AU109="s.i", "s.i", IF(AND(AU109&gt;=Deflactor!$BQ$298,AU109&lt;Deflactor!$BQ$299), Deflactor!$BP$298, IF(AND(AU109&gt;=Deflactor!$BQ$299,AU109&lt;Deflactor!$BQ$300), Deflactor!$BP$299, IF(AND(AU109&gt;=Deflactor!$BQ$300,AU109&lt;Deflactor!$BQ$301), Deflactor!$BP$300, IF(AND(AU109&gt;=Deflactor!$BQ$301,AU109&lt;Deflactor!$BQ$302), Deflactor!$BP$301, IF(AND(AU109&gt;=Deflactor!$BQ$302,AU109&lt;Deflactor!$BQ$303), Deflactor!$BP$302, IF(AND(AU109&gt;=Deflactor!$BQ$303,AU109&lt;Deflactor!$BQ$304), Deflactor!$BP$303, IF(AND(AU109&gt;=Deflactor!$BQ$304,AU109&lt;Deflactor!$BQ$305), Deflactor!$BP$304, IF(AND(AU109&gt;=Deflactor!$BQ$305,AU109&lt;Deflactor!$BQ$306), Deflactor!$BP$305, IF(AND(AU109&gt;=Deflactor!$BQ$306,AU109&lt;Deflactor!$BQ$307), Deflactor!$BP$306, Deflactor!$BP$307) ) ) ) ) ) ) ) ) )</f>
        <v>7</v>
      </c>
    </row>
    <row r="110" spans="1:48" x14ac:dyDescent="0.25">
      <c r="A110" s="3">
        <v>2015</v>
      </c>
      <c r="B110" s="3" t="s">
        <v>163</v>
      </c>
      <c r="C110" s="3" t="s">
        <v>7</v>
      </c>
      <c r="D110" s="3" t="s">
        <v>164</v>
      </c>
      <c r="E110" s="3" t="s">
        <v>165</v>
      </c>
      <c r="F110" s="3" t="s">
        <v>95</v>
      </c>
      <c r="G110" s="3" t="s">
        <v>723</v>
      </c>
      <c r="H110" s="13">
        <v>1979</v>
      </c>
      <c r="I110" s="13"/>
      <c r="J110" s="10">
        <f xml:space="preserve"> 3998919 * 1000</f>
        <v>3998919000</v>
      </c>
      <c r="K110" s="3"/>
      <c r="L110" s="3" t="s">
        <v>2066</v>
      </c>
      <c r="M110" s="3" t="s">
        <v>2067</v>
      </c>
      <c r="N110" s="3" t="s">
        <v>2068</v>
      </c>
      <c r="O110" s="3" t="s">
        <v>2069</v>
      </c>
      <c r="P110" s="3" t="s">
        <v>2070</v>
      </c>
      <c r="Q110" s="3"/>
      <c r="R110" s="11" t="s">
        <v>2063</v>
      </c>
      <c r="S110" s="11" t="s">
        <v>2064</v>
      </c>
      <c r="T110" s="11" t="s">
        <v>2065</v>
      </c>
      <c r="U110" s="3"/>
      <c r="V110" s="3"/>
      <c r="W110" s="10">
        <f>IF( J110="s.i", "s.i", IF(ISBLANK(J110),"Actualizando información",IFERROR(J110 / VLOOKUP(A110,Deflactor!$G$3:$H$64,2,0),"Revisar error" )))</f>
        <v>3597688244.3408961</v>
      </c>
      <c r="AR110" s="34">
        <f xml:space="preserve"> 206000 * 1000</f>
        <v>206000000</v>
      </c>
      <c r="AT110" s="46">
        <f t="shared" si="2"/>
        <v>206000000</v>
      </c>
      <c r="AU110" s="54">
        <f xml:space="preserve"> IFERROR(ROUND(AT110 / VLOOKUP(A110,Tabla1[#All],2,0),0),"s.i")</f>
        <v>314865</v>
      </c>
      <c r="AV110" s="33">
        <f xml:space="preserve"> IF(AU110="s.i", "s.i", IF(AND(AU110&gt;=Deflactor!$BQ$298,AU110&lt;Deflactor!$BQ$299), Deflactor!$BP$298, IF(AND(AU110&gt;=Deflactor!$BQ$299,AU110&lt;Deflactor!$BQ$300), Deflactor!$BP$299, IF(AND(AU110&gt;=Deflactor!$BQ$300,AU110&lt;Deflactor!$BQ$301), Deflactor!$BP$300, IF(AND(AU110&gt;=Deflactor!$BQ$301,AU110&lt;Deflactor!$BQ$302), Deflactor!$BP$301, IF(AND(AU110&gt;=Deflactor!$BQ$302,AU110&lt;Deflactor!$BQ$303), Deflactor!$BP$302, IF(AND(AU110&gt;=Deflactor!$BQ$303,AU110&lt;Deflactor!$BQ$304), Deflactor!$BP$303, IF(AND(AU110&gt;=Deflactor!$BQ$304,AU110&lt;Deflactor!$BQ$305), Deflactor!$BP$304, IF(AND(AU110&gt;=Deflactor!$BQ$305,AU110&lt;Deflactor!$BQ$306), Deflactor!$BP$305, IF(AND(AU110&gt;=Deflactor!$BQ$306,AU110&lt;Deflactor!$BQ$307), Deflactor!$BP$306, Deflactor!$BP$307) ) ) ) ) ) ) ) ) )</f>
        <v>1</v>
      </c>
    </row>
    <row r="111" spans="1:48" x14ac:dyDescent="0.25">
      <c r="A111" s="3">
        <v>2015</v>
      </c>
      <c r="B111" s="3" t="s">
        <v>166</v>
      </c>
      <c r="C111" s="3" t="s">
        <v>7</v>
      </c>
      <c r="D111" s="3" t="s">
        <v>71</v>
      </c>
      <c r="E111" s="3" t="s">
        <v>167</v>
      </c>
      <c r="F111" s="3" t="s">
        <v>95</v>
      </c>
      <c r="G111" s="3" t="s">
        <v>723</v>
      </c>
      <c r="H111" s="13">
        <v>1964</v>
      </c>
      <c r="I111" s="13"/>
      <c r="J111" s="10">
        <f xml:space="preserve"> 70756 * 1000000</f>
        <v>70756000000</v>
      </c>
      <c r="K111" s="3" t="s">
        <v>2308</v>
      </c>
      <c r="L111" s="3" t="s">
        <v>2074</v>
      </c>
      <c r="M111" s="3" t="s">
        <v>2075</v>
      </c>
      <c r="N111" s="3" t="s">
        <v>2076</v>
      </c>
      <c r="O111" s="3" t="s">
        <v>2077</v>
      </c>
      <c r="P111" s="3" t="s">
        <v>2078</v>
      </c>
      <c r="Q111" s="3"/>
      <c r="R111" s="11" t="s">
        <v>2071</v>
      </c>
      <c r="S111" s="11" t="s">
        <v>2072</v>
      </c>
      <c r="T111" s="29" t="s">
        <v>2073</v>
      </c>
      <c r="U111" s="3"/>
      <c r="V111" s="3"/>
      <c r="W111" s="10">
        <f>IF( J111="s.i", "s.i", IF(ISBLANK(J111),"Actualizando información",IFERROR(J111 / VLOOKUP(A111,Deflactor!$G$3:$H$64,2,0),"Revisar error" )))</f>
        <v>63656710580.180405</v>
      </c>
      <c r="AR111" s="10">
        <f xml:space="preserve"> 70505472 * 1000</f>
        <v>70505472000</v>
      </c>
      <c r="AT111" s="46">
        <f t="shared" si="2"/>
        <v>70505472000</v>
      </c>
      <c r="AU111" s="54">
        <f xml:space="preserve"> IFERROR(ROUND(AT111 / VLOOKUP(A111,Tabla1[#All],2,0),0),"s.i")</f>
        <v>107765502</v>
      </c>
      <c r="AV111" s="33">
        <f xml:space="preserve"> IF(AU111="s.i", "s.i", IF(AND(AU111&gt;=Deflactor!$BQ$298,AU111&lt;Deflactor!$BQ$299), Deflactor!$BP$298, IF(AND(AU111&gt;=Deflactor!$BQ$299,AU111&lt;Deflactor!$BQ$300), Deflactor!$BP$299, IF(AND(AU111&gt;=Deflactor!$BQ$300,AU111&lt;Deflactor!$BQ$301), Deflactor!$BP$300, IF(AND(AU111&gt;=Deflactor!$BQ$301,AU111&lt;Deflactor!$BQ$302), Deflactor!$BP$301, IF(AND(AU111&gt;=Deflactor!$BQ$302,AU111&lt;Deflactor!$BQ$303), Deflactor!$BP$302, IF(AND(AU111&gt;=Deflactor!$BQ$303,AU111&lt;Deflactor!$BQ$304), Deflactor!$BP$303, IF(AND(AU111&gt;=Deflactor!$BQ$304,AU111&lt;Deflactor!$BQ$305), Deflactor!$BP$304, IF(AND(AU111&gt;=Deflactor!$BQ$305,AU111&lt;Deflactor!$BQ$306), Deflactor!$BP$305, IF(AND(AU111&gt;=Deflactor!$BQ$306,AU111&lt;Deflactor!$BQ$307), Deflactor!$BP$306, Deflactor!$BP$307) ) ) ) ) ) ) ) ) )</f>
        <v>10</v>
      </c>
    </row>
    <row r="112" spans="1:48" x14ac:dyDescent="0.25">
      <c r="A112" s="3">
        <v>2015</v>
      </c>
      <c r="B112" s="3" t="s">
        <v>168</v>
      </c>
      <c r="C112" s="3" t="s">
        <v>7</v>
      </c>
      <c r="D112" s="3" t="s">
        <v>36</v>
      </c>
      <c r="E112" s="3" t="s">
        <v>81</v>
      </c>
      <c r="F112" s="3" t="s">
        <v>89</v>
      </c>
      <c r="G112" s="3" t="s">
        <v>723</v>
      </c>
      <c r="H112" s="13">
        <v>2000</v>
      </c>
      <c r="I112" s="13"/>
      <c r="J112" s="10">
        <f xml:space="preserve"> 4475936  * 1000</f>
        <v>4475936000</v>
      </c>
      <c r="K112" s="3" t="s">
        <v>2087</v>
      </c>
      <c r="L112" s="3" t="s">
        <v>2082</v>
      </c>
      <c r="M112" s="3" t="s">
        <v>2086</v>
      </c>
      <c r="N112" s="3" t="s">
        <v>2083</v>
      </c>
      <c r="O112" s="3" t="s">
        <v>2084</v>
      </c>
      <c r="P112" s="3" t="s">
        <v>2085</v>
      </c>
      <c r="Q112" s="3"/>
      <c r="R112" s="11" t="s">
        <v>2079</v>
      </c>
      <c r="S112" s="11" t="s">
        <v>2080</v>
      </c>
      <c r="T112" s="11" t="s">
        <v>2081</v>
      </c>
      <c r="U112" s="3" t="s">
        <v>168</v>
      </c>
      <c r="V112" s="3"/>
      <c r="W112" s="10">
        <f>IF( J112="s.i", "s.i", IF(ISBLANK(J112),"Actualizando información",IFERROR(J112 / VLOOKUP(A112,Deflactor!$G$3:$H$64,2,0),"Revisar error" )))</f>
        <v>4026843836.9524899</v>
      </c>
      <c r="AR112" s="10">
        <f xml:space="preserve"> 4475936 * 1000</f>
        <v>4475936000</v>
      </c>
      <c r="AT112" s="46">
        <f t="shared" si="2"/>
        <v>4475936000</v>
      </c>
      <c r="AU112" s="54">
        <f xml:space="preserve"> IFERROR(ROUND(AT112 / VLOOKUP(A112,Tabla1[#All],2,0),0),"s.i")</f>
        <v>6841334</v>
      </c>
      <c r="AV112" s="33">
        <f xml:space="preserve"> IF(AU112="s.i", "s.i", IF(AND(AU112&gt;=Deflactor!$BQ$298,AU112&lt;Deflactor!$BQ$299), Deflactor!$BP$298, IF(AND(AU112&gt;=Deflactor!$BQ$299,AU112&lt;Deflactor!$BQ$300), Deflactor!$BP$299, IF(AND(AU112&gt;=Deflactor!$BQ$300,AU112&lt;Deflactor!$BQ$301), Deflactor!$BP$300, IF(AND(AU112&gt;=Deflactor!$BQ$301,AU112&lt;Deflactor!$BQ$302), Deflactor!$BP$301, IF(AND(AU112&gt;=Deflactor!$BQ$302,AU112&lt;Deflactor!$BQ$303), Deflactor!$BP$302, IF(AND(AU112&gt;=Deflactor!$BQ$303,AU112&lt;Deflactor!$BQ$304), Deflactor!$BP$303, IF(AND(AU112&gt;=Deflactor!$BQ$304,AU112&lt;Deflactor!$BQ$305), Deflactor!$BP$304, IF(AND(AU112&gt;=Deflactor!$BQ$305,AU112&lt;Deflactor!$BQ$306), Deflactor!$BP$305, IF(AND(AU112&gt;=Deflactor!$BQ$306,AU112&lt;Deflactor!$BQ$307), Deflactor!$BP$306, Deflactor!$BP$307) ) ) ) ) ) ) ) ) )</f>
        <v>3</v>
      </c>
    </row>
    <row r="113" spans="1:48" x14ac:dyDescent="0.25">
      <c r="A113" s="3">
        <v>2015</v>
      </c>
      <c r="B113" s="3" t="s">
        <v>169</v>
      </c>
      <c r="C113" s="3" t="s">
        <v>7</v>
      </c>
      <c r="D113" s="3" t="s">
        <v>36</v>
      </c>
      <c r="E113" s="3" t="s">
        <v>37</v>
      </c>
      <c r="F113" s="3" t="s">
        <v>89</v>
      </c>
      <c r="G113" s="3" t="s">
        <v>723</v>
      </c>
      <c r="H113" s="13">
        <v>2009</v>
      </c>
      <c r="I113" s="13"/>
      <c r="J113" s="10">
        <f xml:space="preserve"> (13851853 + 17879975) * 1000</f>
        <v>31731828000</v>
      </c>
      <c r="K113" s="3" t="s">
        <v>763</v>
      </c>
      <c r="L113" s="3" t="s">
        <v>2092</v>
      </c>
      <c r="M113" s="3" t="s">
        <v>2095</v>
      </c>
      <c r="N113" s="3" t="s">
        <v>2093</v>
      </c>
      <c r="O113" s="3" t="s">
        <v>2094</v>
      </c>
      <c r="P113" s="3" t="s">
        <v>2096</v>
      </c>
      <c r="Q113" s="3" t="s">
        <v>2091</v>
      </c>
      <c r="R113" s="11" t="s">
        <v>2088</v>
      </c>
      <c r="S113" s="11" t="s">
        <v>2089</v>
      </c>
      <c r="T113" s="11" t="s">
        <v>2090</v>
      </c>
      <c r="U113" s="3" t="s">
        <v>2107</v>
      </c>
      <c r="V113" s="3"/>
      <c r="W113" s="10">
        <f>IF( J113="s.i", "s.i", IF(ISBLANK(J113),"Actualizando información",IFERROR(J113 / VLOOKUP(A113,Deflactor!$G$3:$H$64,2,0),"Revisar error" )))</f>
        <v>28548021244.503151</v>
      </c>
      <c r="AR113" s="34">
        <f xml:space="preserve"> 50779990 * 1000</f>
        <v>50779990000</v>
      </c>
      <c r="AT113" s="46">
        <f t="shared" si="2"/>
        <v>50779990000</v>
      </c>
      <c r="AU113" s="54">
        <f xml:space="preserve"> IFERROR(ROUND(AT113 / VLOOKUP(A113,Tabla1[#All],2,0),0),"s.i")</f>
        <v>77615694</v>
      </c>
      <c r="AV113" s="33">
        <f xml:space="preserve"> IF(AU113="s.i", "s.i", IF(AND(AU113&gt;=Deflactor!$BQ$298,AU113&lt;Deflactor!$BQ$299), Deflactor!$BP$298, IF(AND(AU113&gt;=Deflactor!$BQ$299,AU113&lt;Deflactor!$BQ$300), Deflactor!$BP$299, IF(AND(AU113&gt;=Deflactor!$BQ$300,AU113&lt;Deflactor!$BQ$301), Deflactor!$BP$300, IF(AND(AU113&gt;=Deflactor!$BQ$301,AU113&lt;Deflactor!$BQ$302), Deflactor!$BP$301, IF(AND(AU113&gt;=Deflactor!$BQ$302,AU113&lt;Deflactor!$BQ$303), Deflactor!$BP$302, IF(AND(AU113&gt;=Deflactor!$BQ$303,AU113&lt;Deflactor!$BQ$304), Deflactor!$BP$303, IF(AND(AU113&gt;=Deflactor!$BQ$304,AU113&lt;Deflactor!$BQ$305), Deflactor!$BP$304, IF(AND(AU113&gt;=Deflactor!$BQ$305,AU113&lt;Deflactor!$BQ$306), Deflactor!$BP$305, IF(AND(AU113&gt;=Deflactor!$BQ$306,AU113&lt;Deflactor!$BQ$307), Deflactor!$BP$306, Deflactor!$BP$307) ) ) ) ) ) ) ) ) )</f>
        <v>9</v>
      </c>
    </row>
    <row r="114" spans="1:48" x14ac:dyDescent="0.25">
      <c r="A114" s="3">
        <v>2015</v>
      </c>
      <c r="B114" s="3" t="s">
        <v>170</v>
      </c>
      <c r="C114" s="3" t="s">
        <v>7</v>
      </c>
      <c r="D114" s="3" t="s">
        <v>36</v>
      </c>
      <c r="E114" s="3" t="s">
        <v>37</v>
      </c>
      <c r="F114" s="3" t="s">
        <v>89</v>
      </c>
      <c r="G114" s="3" t="s">
        <v>723</v>
      </c>
      <c r="H114" s="13">
        <v>2009</v>
      </c>
      <c r="I114" s="13"/>
      <c r="J114" s="10">
        <f xml:space="preserve"> (13851853 ) * 1000</f>
        <v>13851853000</v>
      </c>
      <c r="K114" s="3" t="s">
        <v>763</v>
      </c>
      <c r="L114" s="3" t="s">
        <v>2100</v>
      </c>
      <c r="M114" s="3" t="s">
        <v>2101</v>
      </c>
      <c r="N114" s="3" t="s">
        <v>2094</v>
      </c>
      <c r="O114" s="3" t="s">
        <v>2102</v>
      </c>
      <c r="P114" s="3" t="s">
        <v>2103</v>
      </c>
      <c r="Q114" s="3" t="s">
        <v>2091</v>
      </c>
      <c r="R114" s="11" t="s">
        <v>2097</v>
      </c>
      <c r="S114" s="11" t="s">
        <v>2098</v>
      </c>
      <c r="T114" s="11" t="s">
        <v>2099</v>
      </c>
      <c r="U114" s="3" t="s">
        <v>2107</v>
      </c>
      <c r="V114" s="3"/>
      <c r="W114" s="10">
        <f>IF( J114="s.i", "s.i", IF(ISBLANK(J114),"Actualizando información",IFERROR(J114 / VLOOKUP(A114,Deflactor!$G$3:$H$64,2,0),"Revisar error" )))</f>
        <v>12462030038.72751</v>
      </c>
      <c r="AR114" s="10">
        <f xml:space="preserve"> 13851853 * 1000</f>
        <v>13851853000</v>
      </c>
      <c r="AT114" s="46">
        <f t="shared" si="2"/>
        <v>13851853000</v>
      </c>
      <c r="AU114" s="54">
        <f xml:space="preserve"> IFERROR(ROUND(AT114 / VLOOKUP(A114,Tabla1[#All],2,0),0),"s.i")</f>
        <v>21172142</v>
      </c>
      <c r="AV114" s="33">
        <f xml:space="preserve"> IF(AU114="s.i", "s.i", IF(AND(AU114&gt;=Deflactor!$BQ$298,AU114&lt;Deflactor!$BQ$299), Deflactor!$BP$298, IF(AND(AU114&gt;=Deflactor!$BQ$299,AU114&lt;Deflactor!$BQ$300), Deflactor!$BP$299, IF(AND(AU114&gt;=Deflactor!$BQ$300,AU114&lt;Deflactor!$BQ$301), Deflactor!$BP$300, IF(AND(AU114&gt;=Deflactor!$BQ$301,AU114&lt;Deflactor!$BQ$302), Deflactor!$BP$301, IF(AND(AU114&gt;=Deflactor!$BQ$302,AU114&lt;Deflactor!$BQ$303), Deflactor!$BP$302, IF(AND(AU114&gt;=Deflactor!$BQ$303,AU114&lt;Deflactor!$BQ$304), Deflactor!$BP$303, IF(AND(AU114&gt;=Deflactor!$BQ$304,AU114&lt;Deflactor!$BQ$305), Deflactor!$BP$304, IF(AND(AU114&gt;=Deflactor!$BQ$305,AU114&lt;Deflactor!$BQ$306), Deflactor!$BP$305, IF(AND(AU114&gt;=Deflactor!$BQ$306,AU114&lt;Deflactor!$BQ$307), Deflactor!$BP$306, Deflactor!$BP$307) ) ) ) ) ) ) ) ) )</f>
        <v>7</v>
      </c>
    </row>
    <row r="115" spans="1:48" x14ac:dyDescent="0.25">
      <c r="A115" s="3">
        <v>2015</v>
      </c>
      <c r="B115" s="3" t="s">
        <v>171</v>
      </c>
      <c r="C115" s="3" t="s">
        <v>7</v>
      </c>
      <c r="D115" s="3" t="s">
        <v>36</v>
      </c>
      <c r="E115" s="3" t="s">
        <v>68</v>
      </c>
      <c r="F115" s="3" t="s">
        <v>89</v>
      </c>
      <c r="G115" s="3" t="s">
        <v>723</v>
      </c>
      <c r="H115" s="13">
        <v>2014</v>
      </c>
      <c r="I115" s="13"/>
      <c r="J115" s="10">
        <f xml:space="preserve"> 4093 * 1000000</f>
        <v>4093000000</v>
      </c>
      <c r="K115" s="3" t="s">
        <v>2278</v>
      </c>
      <c r="L115" s="3" t="s">
        <v>2108</v>
      </c>
      <c r="M115" s="3" t="s">
        <v>2109</v>
      </c>
      <c r="N115" s="3" t="s">
        <v>2110</v>
      </c>
      <c r="O115" s="3" t="s">
        <v>2111</v>
      </c>
      <c r="P115" s="3" t="s">
        <v>2112</v>
      </c>
      <c r="Q115" s="3"/>
      <c r="R115" s="11" t="s">
        <v>2104</v>
      </c>
      <c r="S115" s="11" t="s">
        <v>2105</v>
      </c>
      <c r="T115" s="11" t="s">
        <v>2106</v>
      </c>
      <c r="U115" s="3"/>
      <c r="V115" s="3"/>
      <c r="W115" s="10">
        <f>IF( J115="s.i", "s.i", IF(ISBLANK(J115),"Actualizando información",IFERROR(J115 / VLOOKUP(A115,Deflactor!$G$3:$H$64,2,0),"Revisar error" )))</f>
        <v>3682329645.6085477</v>
      </c>
      <c r="AR115" s="10">
        <f xml:space="preserve"> 3553501 * 1000</f>
        <v>3553501000</v>
      </c>
      <c r="AT115" s="46">
        <f t="shared" si="2"/>
        <v>3553501000</v>
      </c>
      <c r="AU115" s="54">
        <f xml:space="preserve"> IFERROR(ROUND(AT115 / VLOOKUP(A115,Tabla1[#All],2,0),0),"s.i")</f>
        <v>5431420</v>
      </c>
      <c r="AV115" s="33">
        <f xml:space="preserve"> IF(AU115="s.i", "s.i", IF(AND(AU115&gt;=Deflactor!$BQ$298,AU115&lt;Deflactor!$BQ$299), Deflactor!$BP$298, IF(AND(AU115&gt;=Deflactor!$BQ$299,AU115&lt;Deflactor!$BQ$300), Deflactor!$BP$299, IF(AND(AU115&gt;=Deflactor!$BQ$300,AU115&lt;Deflactor!$BQ$301), Deflactor!$BP$300, IF(AND(AU115&gt;=Deflactor!$BQ$301,AU115&lt;Deflactor!$BQ$302), Deflactor!$BP$301, IF(AND(AU115&gt;=Deflactor!$BQ$302,AU115&lt;Deflactor!$BQ$303), Deflactor!$BP$302, IF(AND(AU115&gt;=Deflactor!$BQ$303,AU115&lt;Deflactor!$BQ$304), Deflactor!$BP$303, IF(AND(AU115&gt;=Deflactor!$BQ$304,AU115&lt;Deflactor!$BQ$305), Deflactor!$BP$304, IF(AND(AU115&gt;=Deflactor!$BQ$305,AU115&lt;Deflactor!$BQ$306), Deflactor!$BP$305, IF(AND(AU115&gt;=Deflactor!$BQ$306,AU115&lt;Deflactor!$BQ$307), Deflactor!$BP$306, Deflactor!$BP$307) ) ) ) ) ) ) ) ) )</f>
        <v>3</v>
      </c>
    </row>
    <row r="116" spans="1:48" x14ac:dyDescent="0.25">
      <c r="A116" s="3">
        <v>2015</v>
      </c>
      <c r="B116" s="3" t="s">
        <v>172</v>
      </c>
      <c r="C116" s="3" t="s">
        <v>7</v>
      </c>
      <c r="D116" s="3" t="s">
        <v>64</v>
      </c>
      <c r="E116" s="3" t="s">
        <v>65</v>
      </c>
      <c r="F116" s="3" t="s">
        <v>89</v>
      </c>
      <c r="G116" s="3" t="s">
        <v>723</v>
      </c>
      <c r="H116" s="13">
        <v>2014</v>
      </c>
      <c r="I116" s="13"/>
      <c r="J116" s="10">
        <f xml:space="preserve"> 99252 * 1000000</f>
        <v>99252000000</v>
      </c>
      <c r="K116" s="3" t="s">
        <v>2289</v>
      </c>
      <c r="L116" s="3" t="s">
        <v>2116</v>
      </c>
      <c r="M116" s="3" t="s">
        <v>2117</v>
      </c>
      <c r="N116" s="3" t="s">
        <v>2118</v>
      </c>
      <c r="O116" s="3" t="s">
        <v>2119</v>
      </c>
      <c r="P116" s="3" t="s">
        <v>2120</v>
      </c>
      <c r="Q116" s="3"/>
      <c r="R116" s="11" t="s">
        <v>2113</v>
      </c>
      <c r="S116" s="11" t="s">
        <v>2114</v>
      </c>
      <c r="T116" s="11" t="s">
        <v>2115</v>
      </c>
      <c r="U116" s="3"/>
      <c r="V116" s="3"/>
      <c r="W116" s="10">
        <f>IF( J116="s.i", "s.i", IF(ISBLANK(J116),"Actualizando información",IFERROR(J116 / VLOOKUP(A116,Deflactor!$G$3:$H$64,2,0),"Revisar error" )))</f>
        <v>89293569994.121567</v>
      </c>
      <c r="AR116" s="10">
        <f xml:space="preserve"> 98194534 * 1000</f>
        <v>98194534000</v>
      </c>
      <c r="AT116" s="46">
        <f t="shared" si="2"/>
        <v>98194534000</v>
      </c>
      <c r="AU116" s="54">
        <f xml:space="preserve"> IFERROR(ROUND(AT116 / VLOOKUP(A116,Tabla1[#All],2,0),0),"s.i")</f>
        <v>150087404</v>
      </c>
      <c r="AV116" s="33">
        <f xml:space="preserve"> IF(AU116="s.i", "s.i", IF(AND(AU116&gt;=Deflactor!$BQ$298,AU116&lt;Deflactor!$BQ$299), Deflactor!$BP$298, IF(AND(AU116&gt;=Deflactor!$BQ$299,AU116&lt;Deflactor!$BQ$300), Deflactor!$BP$299, IF(AND(AU116&gt;=Deflactor!$BQ$300,AU116&lt;Deflactor!$BQ$301), Deflactor!$BP$300, IF(AND(AU116&gt;=Deflactor!$BQ$301,AU116&lt;Deflactor!$BQ$302), Deflactor!$BP$301, IF(AND(AU116&gt;=Deflactor!$BQ$302,AU116&lt;Deflactor!$BQ$303), Deflactor!$BP$302, IF(AND(AU116&gt;=Deflactor!$BQ$303,AU116&lt;Deflactor!$BQ$304), Deflactor!$BP$303, IF(AND(AU116&gt;=Deflactor!$BQ$304,AU116&lt;Deflactor!$BQ$305), Deflactor!$BP$304, IF(AND(AU116&gt;=Deflactor!$BQ$305,AU116&lt;Deflactor!$BQ$306), Deflactor!$BP$305, IF(AND(AU116&gt;=Deflactor!$BQ$306,AU116&lt;Deflactor!$BQ$307), Deflactor!$BP$306, Deflactor!$BP$307) ) ) ) ) ) ) ) ) )</f>
        <v>10</v>
      </c>
    </row>
    <row r="117" spans="1:48" x14ac:dyDescent="0.25">
      <c r="A117" s="3">
        <v>2015</v>
      </c>
      <c r="B117" s="3" t="s">
        <v>173</v>
      </c>
      <c r="C117" s="3" t="s">
        <v>7</v>
      </c>
      <c r="D117" s="3" t="s">
        <v>36</v>
      </c>
      <c r="E117" s="3" t="s">
        <v>37</v>
      </c>
      <c r="F117" s="3" t="s">
        <v>89</v>
      </c>
      <c r="G117" s="3" t="s">
        <v>723</v>
      </c>
      <c r="H117" s="13">
        <v>2010</v>
      </c>
      <c r="I117" s="13"/>
      <c r="J117" s="10">
        <f xml:space="preserve"> ( 17879975) * 1000</f>
        <v>17879975000</v>
      </c>
      <c r="K117" s="3" t="s">
        <v>763</v>
      </c>
      <c r="L117" s="3" t="s">
        <v>2100</v>
      </c>
      <c r="M117" s="3" t="s">
        <v>2124</v>
      </c>
      <c r="N117" s="3" t="s">
        <v>2096</v>
      </c>
      <c r="O117" s="3" t="s">
        <v>2125</v>
      </c>
      <c r="P117" s="3" t="s">
        <v>2126</v>
      </c>
      <c r="Q117" s="3"/>
      <c r="R117" s="11" t="s">
        <v>2121</v>
      </c>
      <c r="S117" s="11" t="s">
        <v>2122</v>
      </c>
      <c r="T117" s="11" t="s">
        <v>2123</v>
      </c>
      <c r="U117" s="3" t="s">
        <v>2107</v>
      </c>
      <c r="V117" s="3"/>
      <c r="W117" s="10">
        <f>IF( J117="s.i", "s.i", IF(ISBLANK(J117),"Actualizando información",IFERROR(J117 / VLOOKUP(A117,Deflactor!$G$3:$H$64,2,0),"Revisar error" )))</f>
        <v>16085991205.77564</v>
      </c>
      <c r="AR117" s="10">
        <f xml:space="preserve"> 17210637 * 1000</f>
        <v>17210637000</v>
      </c>
      <c r="AT117" s="46">
        <f t="shared" si="2"/>
        <v>17210637000</v>
      </c>
      <c r="AU117" s="54">
        <f xml:space="preserve"> IFERROR(ROUND(AT117 / VLOOKUP(A117,Tabla1[#All],2,0),0),"s.i")</f>
        <v>26305943</v>
      </c>
      <c r="AV117" s="33">
        <f xml:space="preserve"> IF(AU117="s.i", "s.i", IF(AND(AU117&gt;=Deflactor!$BQ$298,AU117&lt;Deflactor!$BQ$299), Deflactor!$BP$298, IF(AND(AU117&gt;=Deflactor!$BQ$299,AU117&lt;Deflactor!$BQ$300), Deflactor!$BP$299, IF(AND(AU117&gt;=Deflactor!$BQ$300,AU117&lt;Deflactor!$BQ$301), Deflactor!$BP$300, IF(AND(AU117&gt;=Deflactor!$BQ$301,AU117&lt;Deflactor!$BQ$302), Deflactor!$BP$301, IF(AND(AU117&gt;=Deflactor!$BQ$302,AU117&lt;Deflactor!$BQ$303), Deflactor!$BP$302, IF(AND(AU117&gt;=Deflactor!$BQ$303,AU117&lt;Deflactor!$BQ$304), Deflactor!$BP$303, IF(AND(AU117&gt;=Deflactor!$BQ$304,AU117&lt;Deflactor!$BQ$305), Deflactor!$BP$304, IF(AND(AU117&gt;=Deflactor!$BQ$305,AU117&lt;Deflactor!$BQ$306), Deflactor!$BP$305, IF(AND(AU117&gt;=Deflactor!$BQ$306,AU117&lt;Deflactor!$BQ$307), Deflactor!$BP$306, Deflactor!$BP$307) ) ) ) ) ) ) ) ) )</f>
        <v>7</v>
      </c>
    </row>
    <row r="118" spans="1:48" x14ac:dyDescent="0.25">
      <c r="A118" s="3">
        <v>2015</v>
      </c>
      <c r="B118" s="3" t="s">
        <v>174</v>
      </c>
      <c r="C118" s="3" t="s">
        <v>7</v>
      </c>
      <c r="D118" s="3" t="s">
        <v>20</v>
      </c>
      <c r="E118" s="3" t="s">
        <v>23</v>
      </c>
      <c r="F118" s="3" t="s">
        <v>89</v>
      </c>
      <c r="G118" s="3" t="s">
        <v>723</v>
      </c>
      <c r="H118" s="13">
        <v>2012</v>
      </c>
      <c r="I118" s="13"/>
      <c r="J118" s="10">
        <f xml:space="preserve"> 6208 * 1000000</f>
        <v>6208000000</v>
      </c>
      <c r="K118" s="3"/>
      <c r="L118" s="3" t="s">
        <v>2130</v>
      </c>
      <c r="M118" s="3" t="s">
        <v>2131</v>
      </c>
      <c r="N118" s="3" t="s">
        <v>2132</v>
      </c>
      <c r="O118" s="3" t="s">
        <v>2133</v>
      </c>
      <c r="P118" s="3" t="s">
        <v>2134</v>
      </c>
      <c r="Q118" s="3"/>
      <c r="R118" s="11" t="s">
        <v>2127</v>
      </c>
      <c r="S118" s="11" t="s">
        <v>2128</v>
      </c>
      <c r="T118" s="11" t="s">
        <v>2129</v>
      </c>
      <c r="U118" s="3"/>
      <c r="V118" s="3"/>
      <c r="W118" s="10">
        <f>IF( J118="s.i", "s.i", IF(ISBLANK(J118),"Actualizando información",IFERROR(J118 / VLOOKUP(A118,Deflactor!$G$3:$H$64,2,0),"Revisar error" )))</f>
        <v>5585121534.3117189</v>
      </c>
      <c r="AR118" s="10">
        <f xml:space="preserve"> 6151072 * 1000</f>
        <v>6151072000</v>
      </c>
      <c r="AT118" s="46">
        <f t="shared" si="2"/>
        <v>6151072000</v>
      </c>
      <c r="AU118" s="54">
        <f xml:space="preserve"> IFERROR(ROUND(AT118 / VLOOKUP(A118,Tabla1[#All],2,0),0),"s.i")</f>
        <v>9401729</v>
      </c>
      <c r="AV118" s="33">
        <f xml:space="preserve"> IF(AU118="s.i", "s.i", IF(AND(AU118&gt;=Deflactor!$BQ$298,AU118&lt;Deflactor!$BQ$299), Deflactor!$BP$298, IF(AND(AU118&gt;=Deflactor!$BQ$299,AU118&lt;Deflactor!$BQ$300), Deflactor!$BP$299, IF(AND(AU118&gt;=Deflactor!$BQ$300,AU118&lt;Deflactor!$BQ$301), Deflactor!$BP$300, IF(AND(AU118&gt;=Deflactor!$BQ$301,AU118&lt;Deflactor!$BQ$302), Deflactor!$BP$301, IF(AND(AU118&gt;=Deflactor!$BQ$302,AU118&lt;Deflactor!$BQ$303), Deflactor!$BP$302, IF(AND(AU118&gt;=Deflactor!$BQ$303,AU118&lt;Deflactor!$BQ$304), Deflactor!$BP$303, IF(AND(AU118&gt;=Deflactor!$BQ$304,AU118&lt;Deflactor!$BQ$305), Deflactor!$BP$304, IF(AND(AU118&gt;=Deflactor!$BQ$305,AU118&lt;Deflactor!$BQ$306), Deflactor!$BP$305, IF(AND(AU118&gt;=Deflactor!$BQ$306,AU118&lt;Deflactor!$BQ$307), Deflactor!$BP$306, Deflactor!$BP$307) ) ) ) ) ) ) ) ) )</f>
        <v>4</v>
      </c>
    </row>
    <row r="119" spans="1:48" x14ac:dyDescent="0.25">
      <c r="A119" s="3">
        <v>2015</v>
      </c>
      <c r="B119" s="3" t="s">
        <v>175</v>
      </c>
      <c r="C119" s="3" t="s">
        <v>7</v>
      </c>
      <c r="D119" s="3" t="s">
        <v>20</v>
      </c>
      <c r="E119" s="3" t="s">
        <v>176</v>
      </c>
      <c r="F119" s="3" t="s">
        <v>89</v>
      </c>
      <c r="G119" s="3" t="s">
        <v>723</v>
      </c>
      <c r="H119" s="13">
        <v>2011</v>
      </c>
      <c r="I119" s="13"/>
      <c r="J119" s="10">
        <f xml:space="preserve"> 3793702 * 1000</f>
        <v>3793702000</v>
      </c>
      <c r="K119" s="3" t="s">
        <v>1786</v>
      </c>
      <c r="L119" s="3" t="s">
        <v>2138</v>
      </c>
      <c r="M119" s="3" t="s">
        <v>2139</v>
      </c>
      <c r="N119" s="3" t="s">
        <v>2140</v>
      </c>
      <c r="O119" s="3" t="s">
        <v>2141</v>
      </c>
      <c r="P119" s="3" t="s">
        <v>2142</v>
      </c>
      <c r="Q119" s="3"/>
      <c r="R119" s="11" t="s">
        <v>2135</v>
      </c>
      <c r="S119" s="11" t="s">
        <v>2136</v>
      </c>
      <c r="T119" s="11" t="s">
        <v>2137</v>
      </c>
      <c r="U119" s="3"/>
      <c r="V119" s="3"/>
      <c r="W119" s="10">
        <f>IF( J119="s.i", "s.i", IF(ISBLANK(J119),"Actualizando información",IFERROR(J119 / VLOOKUP(A119,Deflactor!$G$3:$H$64,2,0),"Revisar error" )))</f>
        <v>3413061651.8945613</v>
      </c>
      <c r="AR119" s="10">
        <f xml:space="preserve"> 2747591 * 1000</f>
        <v>2747591000</v>
      </c>
      <c r="AT119" s="46">
        <f t="shared" si="2"/>
        <v>2747591000</v>
      </c>
      <c r="AU119" s="54">
        <f xml:space="preserve"> IFERROR(ROUND(AT119 / VLOOKUP(A119,Tabla1[#All],2,0),0),"s.i")</f>
        <v>4199611</v>
      </c>
      <c r="AV119" s="33">
        <f xml:space="preserve"> IF(AU119="s.i", "s.i", IF(AND(AU119&gt;=Deflactor!$BQ$298,AU119&lt;Deflactor!$BQ$299), Deflactor!$BP$298, IF(AND(AU119&gt;=Deflactor!$BQ$299,AU119&lt;Deflactor!$BQ$300), Deflactor!$BP$299, IF(AND(AU119&gt;=Deflactor!$BQ$300,AU119&lt;Deflactor!$BQ$301), Deflactor!$BP$300, IF(AND(AU119&gt;=Deflactor!$BQ$301,AU119&lt;Deflactor!$BQ$302), Deflactor!$BP$301, IF(AND(AU119&gt;=Deflactor!$BQ$302,AU119&lt;Deflactor!$BQ$303), Deflactor!$BP$302, IF(AND(AU119&gt;=Deflactor!$BQ$303,AU119&lt;Deflactor!$BQ$304), Deflactor!$BP$303, IF(AND(AU119&gt;=Deflactor!$BQ$304,AU119&lt;Deflactor!$BQ$305), Deflactor!$BP$304, IF(AND(AU119&gt;=Deflactor!$BQ$305,AU119&lt;Deflactor!$BQ$306), Deflactor!$BP$305, IF(AND(AU119&gt;=Deflactor!$BQ$306,AU119&lt;Deflactor!$BQ$307), Deflactor!$BP$306, Deflactor!$BP$307) ) ) ) ) ) ) ) ) )</f>
        <v>2</v>
      </c>
    </row>
    <row r="120" spans="1:48" x14ac:dyDescent="0.25">
      <c r="A120" s="3">
        <v>2015</v>
      </c>
      <c r="B120" s="3" t="s">
        <v>177</v>
      </c>
      <c r="C120" s="3" t="s">
        <v>7</v>
      </c>
      <c r="D120" s="3" t="s">
        <v>20</v>
      </c>
      <c r="E120" s="3" t="s">
        <v>178</v>
      </c>
      <c r="F120" s="3" t="s">
        <v>89</v>
      </c>
      <c r="G120" s="3" t="s">
        <v>723</v>
      </c>
      <c r="H120" s="13">
        <v>2007</v>
      </c>
      <c r="I120" s="13"/>
      <c r="J120" s="10">
        <f xml:space="preserve"> 4936 * 1000000</f>
        <v>4936000000</v>
      </c>
      <c r="K120" s="3" t="s">
        <v>2147</v>
      </c>
      <c r="L120" s="3" t="s">
        <v>2148</v>
      </c>
      <c r="M120" s="3" t="s">
        <v>2146</v>
      </c>
      <c r="N120" s="3" t="s">
        <v>2149</v>
      </c>
      <c r="O120" s="3" t="s">
        <v>2151</v>
      </c>
      <c r="P120" s="3" t="s">
        <v>2152</v>
      </c>
      <c r="Q120" s="3" t="s">
        <v>2150</v>
      </c>
      <c r="R120" s="11" t="s">
        <v>2143</v>
      </c>
      <c r="S120" s="11" t="s">
        <v>2144</v>
      </c>
      <c r="T120" s="11" t="s">
        <v>2145</v>
      </c>
      <c r="U120" s="3"/>
      <c r="V120" s="3"/>
      <c r="W120" s="10">
        <f>IF( J120="s.i", "s.i", IF(ISBLANK(J120),"Actualizando información",IFERROR(J120 / VLOOKUP(A120,Deflactor!$G$3:$H$64,2,0),"Revisar error" )))</f>
        <v>4440747405.5030031</v>
      </c>
      <c r="AR120" s="10">
        <f xml:space="preserve"> 4795504 * 1000</f>
        <v>4795504000</v>
      </c>
      <c r="AT120" s="46">
        <f t="shared" si="2"/>
        <v>4795504000</v>
      </c>
      <c r="AU120" s="54">
        <f xml:space="preserve"> IFERROR(ROUND(AT120 / VLOOKUP(A120,Tabla1[#All],2,0),0),"s.i")</f>
        <v>7329784</v>
      </c>
      <c r="AV120" s="33">
        <f xml:space="preserve"> IF(AU120="s.i", "s.i", IF(AND(AU120&gt;=Deflactor!$BQ$298,AU120&lt;Deflactor!$BQ$299), Deflactor!$BP$298, IF(AND(AU120&gt;=Deflactor!$BQ$299,AU120&lt;Deflactor!$BQ$300), Deflactor!$BP$299, IF(AND(AU120&gt;=Deflactor!$BQ$300,AU120&lt;Deflactor!$BQ$301), Deflactor!$BP$300, IF(AND(AU120&gt;=Deflactor!$BQ$301,AU120&lt;Deflactor!$BQ$302), Deflactor!$BP$301, IF(AND(AU120&gt;=Deflactor!$BQ$302,AU120&lt;Deflactor!$BQ$303), Deflactor!$BP$302, IF(AND(AU120&gt;=Deflactor!$BQ$303,AU120&lt;Deflactor!$BQ$304), Deflactor!$BP$303, IF(AND(AU120&gt;=Deflactor!$BQ$304,AU120&lt;Deflactor!$BQ$305), Deflactor!$BP$304, IF(AND(AU120&gt;=Deflactor!$BQ$305,AU120&lt;Deflactor!$BQ$306), Deflactor!$BP$305, IF(AND(AU120&gt;=Deflactor!$BQ$306,AU120&lt;Deflactor!$BQ$307), Deflactor!$BP$306, Deflactor!$BP$307) ) ) ) ) ) ) ) ) )</f>
        <v>3</v>
      </c>
    </row>
    <row r="121" spans="1:48" x14ac:dyDescent="0.25">
      <c r="A121" s="3">
        <v>2015</v>
      </c>
      <c r="B121" s="3" t="s">
        <v>179</v>
      </c>
      <c r="C121" s="3" t="s">
        <v>7</v>
      </c>
      <c r="D121" s="3" t="s">
        <v>36</v>
      </c>
      <c r="E121" s="3" t="s">
        <v>37</v>
      </c>
      <c r="F121" s="3" t="s">
        <v>89</v>
      </c>
      <c r="G121" s="3" t="s">
        <v>723</v>
      </c>
      <c r="H121" s="13">
        <v>2009</v>
      </c>
      <c r="I121" s="13"/>
      <c r="J121" s="10">
        <f xml:space="preserve"> 4120000 * 1000</f>
        <v>4120000000</v>
      </c>
      <c r="K121" s="3" t="s">
        <v>2161</v>
      </c>
      <c r="L121" s="3" t="s">
        <v>2156</v>
      </c>
      <c r="M121" s="3" t="s">
        <v>2157</v>
      </c>
      <c r="N121" s="3" t="s">
        <v>2158</v>
      </c>
      <c r="O121" s="3" t="s">
        <v>2159</v>
      </c>
      <c r="P121" s="3" t="s">
        <v>2160</v>
      </c>
      <c r="Q121" s="3"/>
      <c r="R121" s="11" t="s">
        <v>2153</v>
      </c>
      <c r="S121" s="11" t="s">
        <v>2154</v>
      </c>
      <c r="T121" s="11" t="s">
        <v>2155</v>
      </c>
      <c r="U121" s="3"/>
      <c r="V121" s="3"/>
      <c r="W121" s="10">
        <f>IF( J121="s.i", "s.i", IF(ISBLANK(J121),"Actualizando información",IFERROR(J121 / VLOOKUP(A121,Deflactor!$G$3:$H$64,2,0),"Revisar error" )))</f>
        <v>3706620605.8898649</v>
      </c>
      <c r="AR121" s="10">
        <f xml:space="preserve"> 4120000 * 1000</f>
        <v>4120000000</v>
      </c>
      <c r="AT121" s="46">
        <f t="shared" si="2"/>
        <v>4120000000</v>
      </c>
      <c r="AU121" s="54">
        <f xml:space="preserve"> IFERROR(ROUND(AT121 / VLOOKUP(A121,Tabla1[#All],2,0),0),"s.i")</f>
        <v>6297297</v>
      </c>
      <c r="AV121" s="33">
        <f xml:space="preserve"> IF(AU121="s.i", "s.i", IF(AND(AU121&gt;=Deflactor!$BQ$298,AU121&lt;Deflactor!$BQ$299), Deflactor!$BP$298, IF(AND(AU121&gt;=Deflactor!$BQ$299,AU121&lt;Deflactor!$BQ$300), Deflactor!$BP$299, IF(AND(AU121&gt;=Deflactor!$BQ$300,AU121&lt;Deflactor!$BQ$301), Deflactor!$BP$300, IF(AND(AU121&gt;=Deflactor!$BQ$301,AU121&lt;Deflactor!$BQ$302), Deflactor!$BP$301, IF(AND(AU121&gt;=Deflactor!$BQ$302,AU121&lt;Deflactor!$BQ$303), Deflactor!$BP$302, IF(AND(AU121&gt;=Deflactor!$BQ$303,AU121&lt;Deflactor!$BQ$304), Deflactor!$BP$303, IF(AND(AU121&gt;=Deflactor!$BQ$304,AU121&lt;Deflactor!$BQ$305), Deflactor!$BP$304, IF(AND(AU121&gt;=Deflactor!$BQ$305,AU121&lt;Deflactor!$BQ$306), Deflactor!$BP$305, IF(AND(AU121&gt;=Deflactor!$BQ$306,AU121&lt;Deflactor!$BQ$307), Deflactor!$BP$306, Deflactor!$BP$307) ) ) ) ) ) ) ) ) )</f>
        <v>3</v>
      </c>
    </row>
    <row r="122" spans="1:48" x14ac:dyDescent="0.25">
      <c r="A122" s="3">
        <v>2015</v>
      </c>
      <c r="B122" s="3" t="s">
        <v>180</v>
      </c>
      <c r="C122" s="3" t="s">
        <v>7</v>
      </c>
      <c r="D122" s="3" t="s">
        <v>25</v>
      </c>
      <c r="E122" s="3" t="s">
        <v>181</v>
      </c>
      <c r="F122" s="3" t="s">
        <v>95</v>
      </c>
      <c r="G122" s="3" t="s">
        <v>723</v>
      </c>
      <c r="H122" s="13">
        <v>1964</v>
      </c>
      <c r="I122" s="13"/>
      <c r="J122" s="10">
        <f xml:space="preserve"> 17169605 * 1000000</f>
        <v>17169605000000</v>
      </c>
      <c r="K122" s="3" t="s">
        <v>2166</v>
      </c>
      <c r="L122" s="3" t="s">
        <v>2167</v>
      </c>
      <c r="M122" s="3" t="s">
        <v>2168</v>
      </c>
      <c r="N122" s="3" t="s">
        <v>2169</v>
      </c>
      <c r="O122" s="3" t="s">
        <v>2170</v>
      </c>
      <c r="P122" s="3" t="s">
        <v>2171</v>
      </c>
      <c r="Q122" s="3"/>
      <c r="R122" s="11" t="s">
        <v>2163</v>
      </c>
      <c r="S122" s="11" t="s">
        <v>2164</v>
      </c>
      <c r="T122" s="11" t="s">
        <v>2165</v>
      </c>
      <c r="U122" s="3"/>
      <c r="V122" s="3"/>
      <c r="W122" s="10">
        <f>IF( J122="s.i", "s.i", IF(ISBLANK(J122),"Actualizando información",IFERROR(J122 / VLOOKUP(A122,Deflactor!$G$3:$H$64,2,0),"Revisar error" )))</f>
        <v>15446896040774.188</v>
      </c>
      <c r="AR122" s="34">
        <f xml:space="preserve"> 15439654 * 1000</f>
        <v>15439654000</v>
      </c>
      <c r="AT122" s="46">
        <f t="shared" si="2"/>
        <v>15439654000</v>
      </c>
      <c r="AU122" s="54">
        <f xml:space="preserve"> IFERROR(ROUND(AT122 / VLOOKUP(A122,Tabla1[#All],2,0),0),"s.i")</f>
        <v>23599049</v>
      </c>
      <c r="AV122" s="33">
        <f xml:space="preserve"> IF(AU122="s.i", "s.i", IF(AND(AU122&gt;=Deflactor!$BQ$298,AU122&lt;Deflactor!$BQ$299), Deflactor!$BP$298, IF(AND(AU122&gt;=Deflactor!$BQ$299,AU122&lt;Deflactor!$BQ$300), Deflactor!$BP$299, IF(AND(AU122&gt;=Deflactor!$BQ$300,AU122&lt;Deflactor!$BQ$301), Deflactor!$BP$300, IF(AND(AU122&gt;=Deflactor!$BQ$301,AU122&lt;Deflactor!$BQ$302), Deflactor!$BP$301, IF(AND(AU122&gt;=Deflactor!$BQ$302,AU122&lt;Deflactor!$BQ$303), Deflactor!$BP$302, IF(AND(AU122&gt;=Deflactor!$BQ$303,AU122&lt;Deflactor!$BQ$304), Deflactor!$BP$303, IF(AND(AU122&gt;=Deflactor!$BQ$304,AU122&lt;Deflactor!$BQ$305), Deflactor!$BP$304, IF(AND(AU122&gt;=Deflactor!$BQ$305,AU122&lt;Deflactor!$BQ$306), Deflactor!$BP$305, IF(AND(AU122&gt;=Deflactor!$BQ$306,AU122&lt;Deflactor!$BQ$307), Deflactor!$BP$306, Deflactor!$BP$307) ) ) ) ) ) ) ) ) )</f>
        <v>7</v>
      </c>
    </row>
    <row r="123" spans="1:48" x14ac:dyDescent="0.25">
      <c r="A123" s="3">
        <v>2015</v>
      </c>
      <c r="B123" s="3" t="s">
        <v>182</v>
      </c>
      <c r="C123" s="3" t="s">
        <v>7</v>
      </c>
      <c r="D123" s="3" t="s">
        <v>12</v>
      </c>
      <c r="E123" s="3" t="s">
        <v>105</v>
      </c>
      <c r="F123" s="3" t="s">
        <v>95</v>
      </c>
      <c r="G123" s="3" t="s">
        <v>723</v>
      </c>
      <c r="H123" s="13">
        <v>2007</v>
      </c>
      <c r="I123" s="13"/>
      <c r="J123" s="10">
        <f xml:space="preserve"> 5861 * 1000000</f>
        <v>5861000000</v>
      </c>
      <c r="K123" s="3" t="s">
        <v>2180</v>
      </c>
      <c r="L123" s="3" t="s">
        <v>2175</v>
      </c>
      <c r="M123" s="3" t="s">
        <v>2176</v>
      </c>
      <c r="N123" s="3" t="s">
        <v>2179</v>
      </c>
      <c r="O123" s="3" t="s">
        <v>2178</v>
      </c>
      <c r="P123" s="3" t="s">
        <v>2177</v>
      </c>
      <c r="Q123" s="3"/>
      <c r="R123" s="11" t="s">
        <v>2172</v>
      </c>
      <c r="S123" s="11" t="s">
        <v>2173</v>
      </c>
      <c r="T123" s="11" t="s">
        <v>2174</v>
      </c>
      <c r="U123" s="3"/>
      <c r="V123" s="3"/>
      <c r="W123" s="10">
        <f>IF( J123="s.i", "s.i", IF(ISBLANK(J123),"Actualizando información",IFERROR(J123 / VLOOKUP(A123,Deflactor!$G$3:$H$64,2,0),"Revisar error" )))</f>
        <v>5272937711.4370136</v>
      </c>
      <c r="AR123" s="34">
        <f xml:space="preserve"> 5861743 * 1000</f>
        <v>5861743000</v>
      </c>
      <c r="AT123" s="46">
        <f t="shared" si="2"/>
        <v>5861743000</v>
      </c>
      <c r="AU123" s="54">
        <f xml:space="preserve"> IFERROR(ROUND(AT123 / VLOOKUP(A123,Tabla1[#All],2,0),0),"s.i")</f>
        <v>8959499</v>
      </c>
      <c r="AV123" s="33">
        <f xml:space="preserve"> IF(AU123="s.i", "s.i", IF(AND(AU123&gt;=Deflactor!$BQ$298,AU123&lt;Deflactor!$BQ$299), Deflactor!$BP$298, IF(AND(AU123&gt;=Deflactor!$BQ$299,AU123&lt;Deflactor!$BQ$300), Deflactor!$BP$299, IF(AND(AU123&gt;=Deflactor!$BQ$300,AU123&lt;Deflactor!$BQ$301), Deflactor!$BP$300, IF(AND(AU123&gt;=Deflactor!$BQ$301,AU123&lt;Deflactor!$BQ$302), Deflactor!$BP$301, IF(AND(AU123&gt;=Deflactor!$BQ$302,AU123&lt;Deflactor!$BQ$303), Deflactor!$BP$302, IF(AND(AU123&gt;=Deflactor!$BQ$303,AU123&lt;Deflactor!$BQ$304), Deflactor!$BP$303, IF(AND(AU123&gt;=Deflactor!$BQ$304,AU123&lt;Deflactor!$BQ$305), Deflactor!$BP$304, IF(AND(AU123&gt;=Deflactor!$BQ$305,AU123&lt;Deflactor!$BQ$306), Deflactor!$BP$305, IF(AND(AU123&gt;=Deflactor!$BQ$306,AU123&lt;Deflactor!$BQ$307), Deflactor!$BP$306, Deflactor!$BP$307) ) ) ) ) ) ) ) ) )</f>
        <v>4</v>
      </c>
    </row>
    <row r="124" spans="1:48" x14ac:dyDescent="0.25">
      <c r="A124" s="3">
        <v>2015</v>
      </c>
      <c r="B124" s="3" t="s">
        <v>183</v>
      </c>
      <c r="C124" s="3" t="s">
        <v>7</v>
      </c>
      <c r="D124" s="3" t="s">
        <v>45</v>
      </c>
      <c r="E124" s="3" t="s">
        <v>184</v>
      </c>
      <c r="F124" s="3" t="s">
        <v>95</v>
      </c>
      <c r="G124" s="3" t="s">
        <v>723</v>
      </c>
      <c r="H124" s="13">
        <v>1987</v>
      </c>
      <c r="I124" s="13"/>
      <c r="J124" s="10">
        <v>34616336</v>
      </c>
      <c r="K124" s="3" t="s">
        <v>2191</v>
      </c>
      <c r="L124" s="3" t="s">
        <v>2184</v>
      </c>
      <c r="M124" s="3" t="s">
        <v>2185</v>
      </c>
      <c r="N124" s="3" t="s">
        <v>2186</v>
      </c>
      <c r="O124" s="3" t="s">
        <v>2187</v>
      </c>
      <c r="P124" s="3" t="s">
        <v>2188</v>
      </c>
      <c r="Q124" s="3"/>
      <c r="R124" s="11" t="s">
        <v>2181</v>
      </c>
      <c r="S124" s="11" t="s">
        <v>2182</v>
      </c>
      <c r="T124" s="11" t="s">
        <v>2183</v>
      </c>
      <c r="U124" s="3" t="s">
        <v>183</v>
      </c>
      <c r="V124" s="3"/>
      <c r="W124" s="10">
        <f>IF( J124="s.i", "s.i", IF(ISBLANK(J124),"Actualizando información",IFERROR(J124 / VLOOKUP(A124,Deflactor!$G$3:$H$64,2,0),"Revisar error" )))</f>
        <v>31143112.698545422</v>
      </c>
      <c r="AR124" s="34">
        <f xml:space="preserve"> 9670356 * 1000</f>
        <v>9670356000</v>
      </c>
      <c r="AS124" s="43">
        <f xml:space="preserve"> 13624 * 1000</f>
        <v>13624000</v>
      </c>
      <c r="AT124" s="56">
        <f>AR124 + ROUND(AS124*Deflactor!BJ20,0)</f>
        <v>18583844376</v>
      </c>
      <c r="AU124" s="54">
        <f xml:space="preserve"> IFERROR(ROUND(AT124 / VLOOKUP(A124,Tabla1[#All],2,0),0),"s.i")</f>
        <v>28404849</v>
      </c>
      <c r="AV124" s="33">
        <f xml:space="preserve"> IF(AU124="s.i", "s.i", IF(AND(AU124&gt;=Deflactor!$BQ$298,AU124&lt;Deflactor!$BQ$299), Deflactor!$BP$298, IF(AND(AU124&gt;=Deflactor!$BQ$299,AU124&lt;Deflactor!$BQ$300), Deflactor!$BP$299, IF(AND(AU124&gt;=Deflactor!$BQ$300,AU124&lt;Deflactor!$BQ$301), Deflactor!$BP$300, IF(AND(AU124&gt;=Deflactor!$BQ$301,AU124&lt;Deflactor!$BQ$302), Deflactor!$BP$301, IF(AND(AU124&gt;=Deflactor!$BQ$302,AU124&lt;Deflactor!$BQ$303), Deflactor!$BP$302, IF(AND(AU124&gt;=Deflactor!$BQ$303,AU124&lt;Deflactor!$BQ$304), Deflactor!$BP$303, IF(AND(AU124&gt;=Deflactor!$BQ$304,AU124&lt;Deflactor!$BQ$305), Deflactor!$BP$304, IF(AND(AU124&gt;=Deflactor!$BQ$305,AU124&lt;Deflactor!$BQ$306), Deflactor!$BP$305, IF(AND(AU124&gt;=Deflactor!$BQ$306,AU124&lt;Deflactor!$BQ$307), Deflactor!$BP$306, Deflactor!$BP$307) ) ) ) ) ) ) ) ) )</f>
        <v>7</v>
      </c>
    </row>
    <row r="125" spans="1:48" x14ac:dyDescent="0.25">
      <c r="A125" s="3">
        <v>2015</v>
      </c>
      <c r="B125" s="3" t="s">
        <v>185</v>
      </c>
      <c r="C125" s="3" t="s">
        <v>7</v>
      </c>
      <c r="D125" s="3" t="s">
        <v>36</v>
      </c>
      <c r="E125" s="3" t="s">
        <v>98</v>
      </c>
      <c r="F125" s="3" t="s">
        <v>89</v>
      </c>
      <c r="G125" s="3" t="s">
        <v>723</v>
      </c>
      <c r="H125" s="13">
        <v>1970</v>
      </c>
      <c r="I125" s="13"/>
      <c r="J125" s="10">
        <f xml:space="preserve"> 293866943 * 1000000</f>
        <v>293866943000000</v>
      </c>
      <c r="K125" s="3"/>
      <c r="L125" s="3" t="s">
        <v>2196</v>
      </c>
      <c r="M125" s="3" t="s">
        <v>2197</v>
      </c>
      <c r="N125" s="3" t="s">
        <v>2198</v>
      </c>
      <c r="O125" s="3" t="s">
        <v>2199</v>
      </c>
      <c r="P125" s="3" t="s">
        <v>2200</v>
      </c>
      <c r="Q125" s="3"/>
      <c r="R125" s="11" t="s">
        <v>2193</v>
      </c>
      <c r="S125" s="11" t="s">
        <v>2194</v>
      </c>
      <c r="T125" s="11" t="s">
        <v>2195</v>
      </c>
      <c r="U125" s="3"/>
      <c r="V125" s="3"/>
      <c r="W125" s="10">
        <f>IF( J125="s.i", "s.i", IF(ISBLANK(J125),"Actualizando información",IFERROR(J125 / VLOOKUP(A125,Deflactor!$G$3:$H$64,2,0),"Revisar error" )))</f>
        <v>264381860755743.28</v>
      </c>
      <c r="AR125" s="34" t="s">
        <v>2357</v>
      </c>
      <c r="AT125" s="46">
        <f>'Notas reunion'!T46</f>
        <v>253201137000</v>
      </c>
      <c r="AU125" s="54">
        <f xml:space="preserve"> IFERROR(ROUND(AT125 / VLOOKUP(A125,Tabla1[#All],2,0),0),"s.i")</f>
        <v>387010354</v>
      </c>
      <c r="AV125" s="33">
        <f xml:space="preserve"> IF(AU125="s.i", "s.i", IF(AND(AU125&gt;=Deflactor!$BQ$298,AU125&lt;Deflactor!$BQ$299), Deflactor!$BP$298, IF(AND(AU125&gt;=Deflactor!$BQ$299,AU125&lt;Deflactor!$BQ$300), Deflactor!$BP$299, IF(AND(AU125&gt;=Deflactor!$BQ$300,AU125&lt;Deflactor!$BQ$301), Deflactor!$BP$300, IF(AND(AU125&gt;=Deflactor!$BQ$301,AU125&lt;Deflactor!$BQ$302), Deflactor!$BP$301, IF(AND(AU125&gt;=Deflactor!$BQ$302,AU125&lt;Deflactor!$BQ$303), Deflactor!$BP$302, IF(AND(AU125&gt;=Deflactor!$BQ$303,AU125&lt;Deflactor!$BQ$304), Deflactor!$BP$303, IF(AND(AU125&gt;=Deflactor!$BQ$304,AU125&lt;Deflactor!$BQ$305), Deflactor!$BP$304, IF(AND(AU125&gt;=Deflactor!$BQ$305,AU125&lt;Deflactor!$BQ$306), Deflactor!$BP$305, IF(AND(AU125&gt;=Deflactor!$BQ$306,AU125&lt;Deflactor!$BQ$307), Deflactor!$BP$306, Deflactor!$BP$307) ) ) ) ) ) ) ) ) )</f>
        <v>10</v>
      </c>
    </row>
    <row r="126" spans="1:48" x14ac:dyDescent="0.25">
      <c r="A126" s="3">
        <v>2014</v>
      </c>
      <c r="B126" s="3" t="s">
        <v>201</v>
      </c>
      <c r="C126" s="3" t="s">
        <v>92</v>
      </c>
      <c r="D126" s="3" t="s">
        <v>20</v>
      </c>
      <c r="E126" s="3" t="s">
        <v>23</v>
      </c>
      <c r="F126" s="3" t="s">
        <v>95</v>
      </c>
      <c r="G126" s="3" t="s">
        <v>723</v>
      </c>
      <c r="H126" s="13">
        <v>1990</v>
      </c>
      <c r="I126" s="13" t="s">
        <v>623</v>
      </c>
      <c r="J126" s="10">
        <f xml:space="preserve"> 66147145 * 1000</f>
        <v>66147145000</v>
      </c>
      <c r="K126" s="3" t="s">
        <v>2308</v>
      </c>
      <c r="L126" s="3" t="s">
        <v>1369</v>
      </c>
      <c r="M126" s="3" t="s">
        <v>1370</v>
      </c>
      <c r="N126" s="3" t="s">
        <v>1371</v>
      </c>
      <c r="O126" s="3"/>
      <c r="P126" s="3"/>
      <c r="Q126" s="3"/>
      <c r="R126" s="3" t="s">
        <v>1372</v>
      </c>
      <c r="S126" s="3" t="s">
        <v>1373</v>
      </c>
      <c r="T126" s="3"/>
      <c r="U126" s="3"/>
      <c r="V126" s="3"/>
      <c r="W126" s="10">
        <f>IF( J126="s.i", "s.i", IF(ISBLANK(J126),"Actualizando información",IFERROR(J126 / VLOOKUP(A126,Deflactor!$G$3:$H$64,2,0),"Revisar error" )))</f>
        <v>62458148721.964233</v>
      </c>
      <c r="AR126" s="10">
        <f xml:space="preserve"> 63272651 * 1000</f>
        <v>63272651000</v>
      </c>
      <c r="AT126" s="46">
        <f t="shared" si="2"/>
        <v>63272651000</v>
      </c>
      <c r="AU126" s="54">
        <f xml:space="preserve"> IFERROR(ROUND(AT126 / VLOOKUP(A126,Tabla1[#All],2,0),0),"s.i")</f>
        <v>111003501</v>
      </c>
      <c r="AV126" s="33">
        <f xml:space="preserve"> IF(AU126="s.i", "s.i", IF(AND(AU126&gt;=Deflactor!$BQ$298,AU126&lt;Deflactor!$BQ$299), Deflactor!$BP$298, IF(AND(AU126&gt;=Deflactor!$BQ$299,AU126&lt;Deflactor!$BQ$300), Deflactor!$BP$299, IF(AND(AU126&gt;=Deflactor!$BQ$300,AU126&lt;Deflactor!$BQ$301), Deflactor!$BP$300, IF(AND(AU126&gt;=Deflactor!$BQ$301,AU126&lt;Deflactor!$BQ$302), Deflactor!$BP$301, IF(AND(AU126&gt;=Deflactor!$BQ$302,AU126&lt;Deflactor!$BQ$303), Deflactor!$BP$302, IF(AND(AU126&gt;=Deflactor!$BQ$303,AU126&lt;Deflactor!$BQ$304), Deflactor!$BP$303, IF(AND(AU126&gt;=Deflactor!$BQ$304,AU126&lt;Deflactor!$BQ$305), Deflactor!$BP$304, IF(AND(AU126&gt;=Deflactor!$BQ$305,AU126&lt;Deflactor!$BQ$306), Deflactor!$BP$305, IF(AND(AU126&gt;=Deflactor!$BQ$306,AU126&lt;Deflactor!$BQ$307), Deflactor!$BP$306, Deflactor!$BP$307) ) ) ) ) ) ) ) ) )</f>
        <v>10</v>
      </c>
    </row>
    <row r="127" spans="1:48" x14ac:dyDescent="0.25">
      <c r="A127" s="3">
        <v>2014</v>
      </c>
      <c r="B127" s="3" t="s">
        <v>186</v>
      </c>
      <c r="C127" s="3" t="s">
        <v>92</v>
      </c>
      <c r="D127" s="3" t="s">
        <v>25</v>
      </c>
      <c r="E127" s="3" t="s">
        <v>29</v>
      </c>
      <c r="F127" s="3" t="s">
        <v>89</v>
      </c>
      <c r="G127" s="3" t="s">
        <v>723</v>
      </c>
      <c r="H127" s="12">
        <v>2005</v>
      </c>
      <c r="I127" s="13" t="s">
        <v>623</v>
      </c>
      <c r="J127" s="10">
        <f xml:space="preserve"> 19217.4 * 1000000</f>
        <v>19217400000</v>
      </c>
      <c r="K127" s="3" t="s">
        <v>2192</v>
      </c>
      <c r="L127" s="3" t="s">
        <v>898</v>
      </c>
      <c r="M127" s="3" t="s">
        <v>899</v>
      </c>
      <c r="N127" s="3" t="s">
        <v>900</v>
      </c>
      <c r="O127" s="3" t="s">
        <v>877</v>
      </c>
      <c r="P127" s="3" t="s">
        <v>888</v>
      </c>
      <c r="Q127" s="3"/>
      <c r="R127" s="11" t="s">
        <v>901</v>
      </c>
      <c r="S127" s="11" t="s">
        <v>902</v>
      </c>
      <c r="T127" s="3"/>
      <c r="U127" s="3"/>
      <c r="V127" s="3"/>
      <c r="W127" s="10">
        <f>IF( J127="s.i", "s.i", IF(ISBLANK(J127),"Actualizando información",IFERROR(J127 / VLOOKUP(A127,Deflactor!$G$3:$H$64,2,0),"Revisar error" )))</f>
        <v>18145654317.347717</v>
      </c>
      <c r="AR127" s="34">
        <f xml:space="preserve"> 711184 * 1000</f>
        <v>711184000</v>
      </c>
      <c r="AT127" s="46">
        <f t="shared" si="2"/>
        <v>711184000</v>
      </c>
      <c r="AU127" s="54">
        <f xml:space="preserve"> IFERROR(ROUND(AT127 / VLOOKUP(A127,Tabla1[#All],2,0),0),"s.i")</f>
        <v>1247678</v>
      </c>
      <c r="AV127" s="33">
        <f xml:space="preserve"> IF(AU127="s.i", "s.i", IF(AND(AU127&gt;=Deflactor!$BQ$298,AU127&lt;Deflactor!$BQ$299), Deflactor!$BP$298, IF(AND(AU127&gt;=Deflactor!$BQ$299,AU127&lt;Deflactor!$BQ$300), Deflactor!$BP$299, IF(AND(AU127&gt;=Deflactor!$BQ$300,AU127&lt;Deflactor!$BQ$301), Deflactor!$BP$300, IF(AND(AU127&gt;=Deflactor!$BQ$301,AU127&lt;Deflactor!$BQ$302), Deflactor!$BP$301, IF(AND(AU127&gt;=Deflactor!$BQ$302,AU127&lt;Deflactor!$BQ$303), Deflactor!$BP$302, IF(AND(AU127&gt;=Deflactor!$BQ$303,AU127&lt;Deflactor!$BQ$304), Deflactor!$BP$303, IF(AND(AU127&gt;=Deflactor!$BQ$304,AU127&lt;Deflactor!$BQ$305), Deflactor!$BP$304, IF(AND(AU127&gt;=Deflactor!$BQ$305,AU127&lt;Deflactor!$BQ$306), Deflactor!$BP$305, IF(AND(AU127&gt;=Deflactor!$BQ$306,AU127&lt;Deflactor!$BQ$307), Deflactor!$BP$306, Deflactor!$BP$307) ) ) ) ) ) ) ) ) )</f>
        <v>1</v>
      </c>
    </row>
    <row r="128" spans="1:48" x14ac:dyDescent="0.25">
      <c r="A128" s="3">
        <v>2014</v>
      </c>
      <c r="B128" s="3" t="s">
        <v>187</v>
      </c>
      <c r="C128" s="3" t="s">
        <v>92</v>
      </c>
      <c r="D128" s="3" t="s">
        <v>25</v>
      </c>
      <c r="E128" s="3" t="s">
        <v>29</v>
      </c>
      <c r="F128" s="3" t="s">
        <v>89</v>
      </c>
      <c r="G128" s="3" t="s">
        <v>723</v>
      </c>
      <c r="H128" s="12">
        <v>2005</v>
      </c>
      <c r="I128" s="13" t="s">
        <v>623</v>
      </c>
      <c r="J128" s="10">
        <f xml:space="preserve"> 19217.4 * 1000000</f>
        <v>19217400000</v>
      </c>
      <c r="K128" s="3" t="s">
        <v>2192</v>
      </c>
      <c r="L128" s="3" t="s">
        <v>898</v>
      </c>
      <c r="M128" s="3" t="s">
        <v>899</v>
      </c>
      <c r="N128" s="3" t="s">
        <v>900</v>
      </c>
      <c r="O128" s="3" t="s">
        <v>877</v>
      </c>
      <c r="P128" s="3" t="s">
        <v>888</v>
      </c>
      <c r="Q128" s="3"/>
      <c r="R128" s="11" t="s">
        <v>901</v>
      </c>
      <c r="S128" s="11" t="s">
        <v>902</v>
      </c>
      <c r="T128" s="3"/>
      <c r="U128" s="3"/>
      <c r="V128" s="3"/>
      <c r="W128" s="10">
        <f>IF( J128="s.i", "s.i", IF(ISBLANK(J128),"Actualizando información",IFERROR(J128 / VLOOKUP(A128,Deflactor!$G$3:$H$64,2,0),"Revisar error" )))</f>
        <v>18145654317.347717</v>
      </c>
      <c r="AR128" s="34">
        <f xml:space="preserve"> 1081076 * 1000</f>
        <v>1081076000</v>
      </c>
      <c r="AT128" s="46">
        <f t="shared" si="2"/>
        <v>1081076000</v>
      </c>
      <c r="AU128" s="54">
        <f xml:space="preserve"> IFERROR(ROUND(AT128 / VLOOKUP(A128,Tabla1[#All],2,0),0),"s.i")</f>
        <v>1896605</v>
      </c>
      <c r="AV128" s="33">
        <f xml:space="preserve"> IF(AU128="s.i", "s.i", IF(AND(AU128&gt;=Deflactor!$BQ$298,AU128&lt;Deflactor!$BQ$299), Deflactor!$BP$298, IF(AND(AU128&gt;=Deflactor!$BQ$299,AU128&lt;Deflactor!$BQ$300), Deflactor!$BP$299, IF(AND(AU128&gt;=Deflactor!$BQ$300,AU128&lt;Deflactor!$BQ$301), Deflactor!$BP$300, IF(AND(AU128&gt;=Deflactor!$BQ$301,AU128&lt;Deflactor!$BQ$302), Deflactor!$BP$301, IF(AND(AU128&gt;=Deflactor!$BQ$302,AU128&lt;Deflactor!$BQ$303), Deflactor!$BP$302, IF(AND(AU128&gt;=Deflactor!$BQ$303,AU128&lt;Deflactor!$BQ$304), Deflactor!$BP$303, IF(AND(AU128&gt;=Deflactor!$BQ$304,AU128&lt;Deflactor!$BQ$305), Deflactor!$BP$304, IF(AND(AU128&gt;=Deflactor!$BQ$305,AU128&lt;Deflactor!$BQ$306), Deflactor!$BP$305, IF(AND(AU128&gt;=Deflactor!$BQ$306,AU128&lt;Deflactor!$BQ$307), Deflactor!$BP$306, Deflactor!$BP$307) ) ) ) ) ) ) ) ) )</f>
        <v>1</v>
      </c>
    </row>
    <row r="129" spans="1:48" ht="14.25" customHeight="1" x14ac:dyDescent="0.25">
      <c r="A129" s="3">
        <v>2014</v>
      </c>
      <c r="B129" s="3" t="s">
        <v>188</v>
      </c>
      <c r="C129" s="3" t="s">
        <v>92</v>
      </c>
      <c r="D129" s="3" t="s">
        <v>25</v>
      </c>
      <c r="E129" s="3" t="s">
        <v>29</v>
      </c>
      <c r="F129" s="3" t="s">
        <v>89</v>
      </c>
      <c r="G129" s="3" t="s">
        <v>723</v>
      </c>
      <c r="H129" s="12">
        <v>2005</v>
      </c>
      <c r="I129" s="13" t="s">
        <v>623</v>
      </c>
      <c r="J129" s="10">
        <f xml:space="preserve"> 19217.4 * 1000000</f>
        <v>19217400000</v>
      </c>
      <c r="K129" s="3" t="s">
        <v>2192</v>
      </c>
      <c r="L129" s="3" t="s">
        <v>898</v>
      </c>
      <c r="M129" s="3" t="s">
        <v>899</v>
      </c>
      <c r="N129" s="3" t="s">
        <v>900</v>
      </c>
      <c r="O129" s="3" t="s">
        <v>877</v>
      </c>
      <c r="P129" s="3" t="s">
        <v>888</v>
      </c>
      <c r="Q129" s="3"/>
      <c r="R129" s="11" t="s">
        <v>901</v>
      </c>
      <c r="S129" s="11" t="s">
        <v>902</v>
      </c>
      <c r="T129" s="3"/>
      <c r="U129" s="3" t="s">
        <v>877</v>
      </c>
      <c r="V129" s="3"/>
      <c r="W129" s="10">
        <f>IF( J129="s.i", "s.i", IF(ISBLANK(J129),"Actualizando información",IFERROR(J129 / VLOOKUP(A129,Deflactor!$G$3:$H$64,2,0),"Revisar error" )))</f>
        <v>18145654317.347717</v>
      </c>
      <c r="AR129" s="34">
        <f xml:space="preserve"> 7165717 * 1000</f>
        <v>7165717000</v>
      </c>
      <c r="AT129" s="46">
        <f t="shared" si="2"/>
        <v>7165717000</v>
      </c>
      <c r="AU129" s="54">
        <f xml:space="preserve"> IFERROR(ROUND(AT129 / VLOOKUP(A129,Tabla1[#All],2,0),0),"s.i")</f>
        <v>12571303</v>
      </c>
      <c r="AV129" s="33">
        <f xml:space="preserve"> IF(AU129="s.i", "s.i", IF(AND(AU129&gt;=Deflactor!$BQ$298,AU129&lt;Deflactor!$BQ$299), Deflactor!$BP$298, IF(AND(AU129&gt;=Deflactor!$BQ$299,AU129&lt;Deflactor!$BQ$300), Deflactor!$BP$299, IF(AND(AU129&gt;=Deflactor!$BQ$300,AU129&lt;Deflactor!$BQ$301), Deflactor!$BP$300, IF(AND(AU129&gt;=Deflactor!$BQ$301,AU129&lt;Deflactor!$BQ$302), Deflactor!$BP$301, IF(AND(AU129&gt;=Deflactor!$BQ$302,AU129&lt;Deflactor!$BQ$303), Deflactor!$BP$302, IF(AND(AU129&gt;=Deflactor!$BQ$303,AU129&lt;Deflactor!$BQ$304), Deflactor!$BP$303, IF(AND(AU129&gt;=Deflactor!$BQ$304,AU129&lt;Deflactor!$BQ$305), Deflactor!$BP$304, IF(AND(AU129&gt;=Deflactor!$BQ$305,AU129&lt;Deflactor!$BQ$306), Deflactor!$BP$305, IF(AND(AU129&gt;=Deflactor!$BQ$306,AU129&lt;Deflactor!$BQ$307), Deflactor!$BP$306, Deflactor!$BP$307) ) ) ) ) ) ) ) ) )</f>
        <v>5</v>
      </c>
    </row>
    <row r="130" spans="1:48" x14ac:dyDescent="0.25">
      <c r="A130" s="3">
        <v>2014</v>
      </c>
      <c r="B130" s="3" t="s">
        <v>189</v>
      </c>
      <c r="C130" s="3" t="s">
        <v>92</v>
      </c>
      <c r="D130" s="3" t="s">
        <v>25</v>
      </c>
      <c r="E130" s="3" t="s">
        <v>29</v>
      </c>
      <c r="F130" s="3" t="s">
        <v>89</v>
      </c>
      <c r="G130" s="3" t="s">
        <v>723</v>
      </c>
      <c r="H130" s="12">
        <v>2005</v>
      </c>
      <c r="I130" s="13" t="s">
        <v>623</v>
      </c>
      <c r="J130" s="10">
        <f xml:space="preserve"> 19217.4 * 1000000</f>
        <v>19217400000</v>
      </c>
      <c r="K130" s="3" t="s">
        <v>2192</v>
      </c>
      <c r="L130" s="3" t="s">
        <v>898</v>
      </c>
      <c r="M130" s="3" t="s">
        <v>899</v>
      </c>
      <c r="N130" s="3" t="s">
        <v>900</v>
      </c>
      <c r="O130" s="3" t="s">
        <v>877</v>
      </c>
      <c r="P130" s="3" t="s">
        <v>888</v>
      </c>
      <c r="Q130" s="3"/>
      <c r="R130" s="11" t="s">
        <v>901</v>
      </c>
      <c r="S130" s="11" t="s">
        <v>902</v>
      </c>
      <c r="T130" s="3"/>
      <c r="U130" s="3"/>
      <c r="V130" s="3"/>
      <c r="W130" s="10">
        <f>IF( J130="s.i", "s.i", IF(ISBLANK(J130),"Actualizando información",IFERROR(J130 / VLOOKUP(A130,Deflactor!$G$3:$H$64,2,0),"Revisar error" )))</f>
        <v>18145654317.347717</v>
      </c>
      <c r="AR130" s="34">
        <f xml:space="preserve"> 7766752 * 1000</f>
        <v>7766752000</v>
      </c>
      <c r="AT130" s="46">
        <f t="shared" si="2"/>
        <v>7766752000</v>
      </c>
      <c r="AU130" s="54">
        <f xml:space="preserve"> IFERROR(ROUND(AT130 / VLOOKUP(A130,Tabla1[#All],2,0),0),"s.i")</f>
        <v>13625740</v>
      </c>
      <c r="AV130" s="33">
        <f xml:space="preserve"> IF(AU130="s.i", "s.i", IF(AND(AU130&gt;=Deflactor!$BQ$298,AU130&lt;Deflactor!$BQ$299), Deflactor!$BP$298, IF(AND(AU130&gt;=Deflactor!$BQ$299,AU130&lt;Deflactor!$BQ$300), Deflactor!$BP$299, IF(AND(AU130&gt;=Deflactor!$BQ$300,AU130&lt;Deflactor!$BQ$301), Deflactor!$BP$300, IF(AND(AU130&gt;=Deflactor!$BQ$301,AU130&lt;Deflactor!$BQ$302), Deflactor!$BP$301, IF(AND(AU130&gt;=Deflactor!$BQ$302,AU130&lt;Deflactor!$BQ$303), Deflactor!$BP$302, IF(AND(AU130&gt;=Deflactor!$BQ$303,AU130&lt;Deflactor!$BQ$304), Deflactor!$BP$303, IF(AND(AU130&gt;=Deflactor!$BQ$304,AU130&lt;Deflactor!$BQ$305), Deflactor!$BP$304, IF(AND(AU130&gt;=Deflactor!$BQ$305,AU130&lt;Deflactor!$BQ$306), Deflactor!$BP$305, IF(AND(AU130&gt;=Deflactor!$BQ$306,AU130&lt;Deflactor!$BQ$307), Deflactor!$BP$306, Deflactor!$BP$307) ) ) ) ) ) ) ) ) )</f>
        <v>5</v>
      </c>
    </row>
    <row r="131" spans="1:48" x14ac:dyDescent="0.25">
      <c r="A131" s="3">
        <v>2014</v>
      </c>
      <c r="B131" s="3" t="s">
        <v>190</v>
      </c>
      <c r="C131" s="3" t="s">
        <v>7</v>
      </c>
      <c r="D131" s="3" t="s">
        <v>25</v>
      </c>
      <c r="E131" s="3" t="s">
        <v>181</v>
      </c>
      <c r="F131" s="3" t="s">
        <v>95</v>
      </c>
      <c r="G131" s="3" t="s">
        <v>623</v>
      </c>
      <c r="H131" s="13">
        <v>1999</v>
      </c>
      <c r="I131" s="13" t="s">
        <v>623</v>
      </c>
      <c r="J131" s="10">
        <f xml:space="preserve"> 10836562 * 1000000</f>
        <v>10836562000000</v>
      </c>
      <c r="K131" s="3"/>
      <c r="L131" s="3" t="s">
        <v>1374</v>
      </c>
      <c r="M131" s="3" t="s">
        <v>1375</v>
      </c>
      <c r="N131" s="3" t="s">
        <v>1376</v>
      </c>
      <c r="O131" s="3" t="s">
        <v>1377</v>
      </c>
      <c r="P131" s="3" t="s">
        <v>1378</v>
      </c>
      <c r="Q131" s="3"/>
      <c r="R131" s="3" t="s">
        <v>1379</v>
      </c>
      <c r="S131" s="3" t="s">
        <v>1380</v>
      </c>
      <c r="T131" s="3" t="s">
        <v>1381</v>
      </c>
      <c r="U131" s="3"/>
      <c r="V131" s="3"/>
      <c r="W131" s="10">
        <f>IF( J131="s.i", "s.i", IF(ISBLANK(J131),"Actualizando información",IFERROR(J131 / VLOOKUP(A131,Deflactor!$G$3:$H$64,2,0),"Revisar error" )))</f>
        <v>10232211851785.686</v>
      </c>
      <c r="AR131" s="34">
        <f xml:space="preserve"> 10389574 * 1000</f>
        <v>10389574000</v>
      </c>
      <c r="AT131" s="46">
        <f t="shared" ref="AT131:AT194" si="5">AR131</f>
        <v>10389574000</v>
      </c>
      <c r="AU131" s="54">
        <f xml:space="preserve"> IFERROR(ROUND(AT131 / VLOOKUP(A131,Tabla1[#All],2,0),0),"s.i")</f>
        <v>18227134</v>
      </c>
      <c r="AV131" s="33">
        <f xml:space="preserve"> IF(AU131="s.i", "s.i", IF(AND(AU131&gt;=Deflactor!$BQ$298,AU131&lt;Deflactor!$BQ$299), Deflactor!$BP$298, IF(AND(AU131&gt;=Deflactor!$BQ$299,AU131&lt;Deflactor!$BQ$300), Deflactor!$BP$299, IF(AND(AU131&gt;=Deflactor!$BQ$300,AU131&lt;Deflactor!$BQ$301), Deflactor!$BP$300, IF(AND(AU131&gt;=Deflactor!$BQ$301,AU131&lt;Deflactor!$BQ$302), Deflactor!$BP$301, IF(AND(AU131&gt;=Deflactor!$BQ$302,AU131&lt;Deflactor!$BQ$303), Deflactor!$BP$302, IF(AND(AU131&gt;=Deflactor!$BQ$303,AU131&lt;Deflactor!$BQ$304), Deflactor!$BP$303, IF(AND(AU131&gt;=Deflactor!$BQ$304,AU131&lt;Deflactor!$BQ$305), Deflactor!$BP$304, IF(AND(AU131&gt;=Deflactor!$BQ$305,AU131&lt;Deflactor!$BQ$306), Deflactor!$BP$305, IF(AND(AU131&gt;=Deflactor!$BQ$306,AU131&lt;Deflactor!$BQ$307), Deflactor!$BP$306, Deflactor!$BP$307) ) ) ) ) ) ) ) ) )</f>
        <v>6</v>
      </c>
    </row>
    <row r="132" spans="1:48" x14ac:dyDescent="0.25">
      <c r="A132" s="3">
        <v>2014</v>
      </c>
      <c r="B132" s="3" t="s">
        <v>211</v>
      </c>
      <c r="C132" s="3" t="s">
        <v>92</v>
      </c>
      <c r="D132" s="3" t="s">
        <v>25</v>
      </c>
      <c r="E132" s="3" t="s">
        <v>29</v>
      </c>
      <c r="F132" s="3" t="s">
        <v>89</v>
      </c>
      <c r="G132" s="3" t="s">
        <v>723</v>
      </c>
      <c r="H132" s="12">
        <v>2005</v>
      </c>
      <c r="I132" s="13" t="s">
        <v>623</v>
      </c>
      <c r="J132" s="10">
        <f xml:space="preserve"> 19217.4 * 1000000</f>
        <v>19217400000</v>
      </c>
      <c r="K132" s="3" t="s">
        <v>2192</v>
      </c>
      <c r="L132" s="3" t="s">
        <v>898</v>
      </c>
      <c r="M132" s="3" t="s">
        <v>899</v>
      </c>
      <c r="N132" s="3" t="s">
        <v>900</v>
      </c>
      <c r="O132" s="3" t="s">
        <v>877</v>
      </c>
      <c r="P132" s="3" t="s">
        <v>888</v>
      </c>
      <c r="Q132" s="3"/>
      <c r="R132" s="11" t="s">
        <v>901</v>
      </c>
      <c r="S132" s="11" t="s">
        <v>902</v>
      </c>
      <c r="T132" s="3"/>
      <c r="U132" s="3" t="s">
        <v>1144</v>
      </c>
      <c r="V132" s="3"/>
      <c r="W132" s="10">
        <f>IF( J132="s.i", "s.i", IF(ISBLANK(J132),"Actualizando información",IFERROR(J132 / VLOOKUP(A132,Deflactor!$G$3:$H$64,2,0),"Revisar error" )))</f>
        <v>18145654317.347717</v>
      </c>
      <c r="AR132" s="34">
        <f xml:space="preserve"> 2091851 * 1000</f>
        <v>2091851000</v>
      </c>
      <c r="AT132" s="46">
        <f t="shared" si="5"/>
        <v>2091851000</v>
      </c>
      <c r="AU132" s="54">
        <f xml:space="preserve"> IFERROR(ROUND(AT132 / VLOOKUP(A132,Tabla1[#All],2,0),0),"s.i")</f>
        <v>3669876</v>
      </c>
      <c r="AV132" s="33">
        <f xml:space="preserve"> IF(AU132="s.i", "s.i", IF(AND(AU132&gt;=Deflactor!$BQ$298,AU132&lt;Deflactor!$BQ$299), Deflactor!$BP$298, IF(AND(AU132&gt;=Deflactor!$BQ$299,AU132&lt;Deflactor!$BQ$300), Deflactor!$BP$299, IF(AND(AU132&gt;=Deflactor!$BQ$300,AU132&lt;Deflactor!$BQ$301), Deflactor!$BP$300, IF(AND(AU132&gt;=Deflactor!$BQ$301,AU132&lt;Deflactor!$BQ$302), Deflactor!$BP$301, IF(AND(AU132&gt;=Deflactor!$BQ$302,AU132&lt;Deflactor!$BQ$303), Deflactor!$BP$302, IF(AND(AU132&gt;=Deflactor!$BQ$303,AU132&lt;Deflactor!$BQ$304), Deflactor!$BP$303, IF(AND(AU132&gt;=Deflactor!$BQ$304,AU132&lt;Deflactor!$BQ$305), Deflactor!$BP$304, IF(AND(AU132&gt;=Deflactor!$BQ$305,AU132&lt;Deflactor!$BQ$306), Deflactor!$BP$305, IF(AND(AU132&gt;=Deflactor!$BQ$306,AU132&lt;Deflactor!$BQ$307), Deflactor!$BP$306, Deflactor!$BP$307) ) ) ) ) ) ) ) ) )</f>
        <v>2</v>
      </c>
    </row>
    <row r="133" spans="1:48" x14ac:dyDescent="0.25">
      <c r="A133" s="3">
        <v>2014</v>
      </c>
      <c r="B133" s="3" t="s">
        <v>212</v>
      </c>
      <c r="C133" s="3" t="s">
        <v>92</v>
      </c>
      <c r="D133" s="3" t="s">
        <v>25</v>
      </c>
      <c r="E133" s="3" t="s">
        <v>29</v>
      </c>
      <c r="F133" s="3" t="s">
        <v>89</v>
      </c>
      <c r="G133" s="3" t="s">
        <v>723</v>
      </c>
      <c r="H133" s="12">
        <v>2005</v>
      </c>
      <c r="I133" s="13" t="s">
        <v>623</v>
      </c>
      <c r="J133" s="10">
        <f xml:space="preserve"> 19217.4 * 1000000</f>
        <v>19217400000</v>
      </c>
      <c r="K133" s="3" t="s">
        <v>2192</v>
      </c>
      <c r="L133" s="3" t="s">
        <v>898</v>
      </c>
      <c r="M133" s="3" t="s">
        <v>899</v>
      </c>
      <c r="N133" s="3" t="s">
        <v>900</v>
      </c>
      <c r="O133" s="3" t="s">
        <v>877</v>
      </c>
      <c r="P133" s="3" t="s">
        <v>888</v>
      </c>
      <c r="Q133" s="3"/>
      <c r="R133" s="11" t="s">
        <v>901</v>
      </c>
      <c r="S133" s="11" t="s">
        <v>902</v>
      </c>
      <c r="T133" s="3"/>
      <c r="U133" s="3"/>
      <c r="V133" s="3"/>
      <c r="W133" s="10">
        <f>IF( J133="s.i", "s.i", IF(ISBLANK(J133),"Actualizando información",IFERROR(J133 / VLOOKUP(A133,Deflactor!$G$3:$H$64,2,0),"Revisar error" )))</f>
        <v>18145654317.347717</v>
      </c>
      <c r="AR133" s="34">
        <f xml:space="preserve"> 1513506 * 1000</f>
        <v>1513506000</v>
      </c>
      <c r="AT133" s="46">
        <f t="shared" si="5"/>
        <v>1513506000</v>
      </c>
      <c r="AU133" s="54">
        <f xml:space="preserve"> IFERROR(ROUND(AT133 / VLOOKUP(A133,Tabla1[#All],2,0),0),"s.i")</f>
        <v>2655246</v>
      </c>
      <c r="AV133" s="33">
        <f xml:space="preserve"> IF(AU133="s.i", "s.i", IF(AND(AU133&gt;=Deflactor!$BQ$298,AU133&lt;Deflactor!$BQ$299), Deflactor!$BP$298, IF(AND(AU133&gt;=Deflactor!$BQ$299,AU133&lt;Deflactor!$BQ$300), Deflactor!$BP$299, IF(AND(AU133&gt;=Deflactor!$BQ$300,AU133&lt;Deflactor!$BQ$301), Deflactor!$BP$300, IF(AND(AU133&gt;=Deflactor!$BQ$301,AU133&lt;Deflactor!$BQ$302), Deflactor!$BP$301, IF(AND(AU133&gt;=Deflactor!$BQ$302,AU133&lt;Deflactor!$BQ$303), Deflactor!$BP$302, IF(AND(AU133&gt;=Deflactor!$BQ$303,AU133&lt;Deflactor!$BQ$304), Deflactor!$BP$303, IF(AND(AU133&gt;=Deflactor!$BQ$304,AU133&lt;Deflactor!$BQ$305), Deflactor!$BP$304, IF(AND(AU133&gt;=Deflactor!$BQ$305,AU133&lt;Deflactor!$BQ$306), Deflactor!$BP$305, IF(AND(AU133&gt;=Deflactor!$BQ$306,AU133&lt;Deflactor!$BQ$307), Deflactor!$BP$306, Deflactor!$BP$307) ) ) ) ) ) ) ) ) )</f>
        <v>2</v>
      </c>
    </row>
    <row r="134" spans="1:48" x14ac:dyDescent="0.25">
      <c r="A134" s="3">
        <v>2014</v>
      </c>
      <c r="B134" s="3" t="s">
        <v>191</v>
      </c>
      <c r="C134" s="3" t="s">
        <v>7</v>
      </c>
      <c r="D134" s="3" t="s">
        <v>36</v>
      </c>
      <c r="E134" s="3" t="s">
        <v>37</v>
      </c>
      <c r="F134" s="3" t="s">
        <v>89</v>
      </c>
      <c r="G134" s="3" t="s">
        <v>723</v>
      </c>
      <c r="H134" s="13">
        <v>2010</v>
      </c>
      <c r="I134" s="13" t="s">
        <v>623</v>
      </c>
      <c r="J134" s="10">
        <f xml:space="preserve"> 21566 * 1000000</f>
        <v>21566000000</v>
      </c>
      <c r="K134" s="3" t="s">
        <v>802</v>
      </c>
      <c r="L134" s="3" t="s">
        <v>1382</v>
      </c>
      <c r="M134" s="3" t="s">
        <v>1383</v>
      </c>
      <c r="N134" s="3" t="s">
        <v>1384</v>
      </c>
      <c r="O134" s="3" t="s">
        <v>1385</v>
      </c>
      <c r="P134" s="3"/>
      <c r="Q134" s="3"/>
      <c r="R134" s="3" t="s">
        <v>1386</v>
      </c>
      <c r="S134" s="3" t="s">
        <v>1387</v>
      </c>
      <c r="T134" s="3"/>
      <c r="U134" s="3"/>
      <c r="V134" s="3"/>
      <c r="W134" s="10">
        <f>IF( J134="s.i", "s.i", IF(ISBLANK(J134),"Actualizando información",IFERROR(J134 / VLOOKUP(A134,Deflactor!$G$3:$H$64,2,0),"Revisar error" )))</f>
        <v>20363273960.469204</v>
      </c>
      <c r="AR134" s="34">
        <f xml:space="preserve"> 721000 * 1000</f>
        <v>721000000</v>
      </c>
      <c r="AT134" s="46">
        <f t="shared" si="5"/>
        <v>721000000</v>
      </c>
      <c r="AU134" s="54">
        <f xml:space="preserve"> IFERROR(ROUND(AT134 / VLOOKUP(A134,Tabla1[#All],2,0),0),"s.i")</f>
        <v>1264899</v>
      </c>
      <c r="AV134" s="33">
        <f xml:space="preserve"> IF(AU134="s.i", "s.i", IF(AND(AU134&gt;=Deflactor!$BQ$298,AU134&lt;Deflactor!$BQ$299), Deflactor!$BP$298, IF(AND(AU134&gt;=Deflactor!$BQ$299,AU134&lt;Deflactor!$BQ$300), Deflactor!$BP$299, IF(AND(AU134&gt;=Deflactor!$BQ$300,AU134&lt;Deflactor!$BQ$301), Deflactor!$BP$300, IF(AND(AU134&gt;=Deflactor!$BQ$301,AU134&lt;Deflactor!$BQ$302), Deflactor!$BP$301, IF(AND(AU134&gt;=Deflactor!$BQ$302,AU134&lt;Deflactor!$BQ$303), Deflactor!$BP$302, IF(AND(AU134&gt;=Deflactor!$BQ$303,AU134&lt;Deflactor!$BQ$304), Deflactor!$BP$303, IF(AND(AU134&gt;=Deflactor!$BQ$304,AU134&lt;Deflactor!$BQ$305), Deflactor!$BP$304, IF(AND(AU134&gt;=Deflactor!$BQ$305,AU134&lt;Deflactor!$BQ$306), Deflactor!$BP$305, IF(AND(AU134&gt;=Deflactor!$BQ$306,AU134&lt;Deflactor!$BQ$307), Deflactor!$BP$306, Deflactor!$BP$307) ) ) ) ) ) ) ) ) )</f>
        <v>1</v>
      </c>
    </row>
    <row r="135" spans="1:48" x14ac:dyDescent="0.25">
      <c r="A135" s="3">
        <v>2014</v>
      </c>
      <c r="B135" s="3" t="s">
        <v>192</v>
      </c>
      <c r="C135" s="3" t="s">
        <v>7</v>
      </c>
      <c r="D135" s="3" t="s">
        <v>36</v>
      </c>
      <c r="E135" s="3" t="s">
        <v>37</v>
      </c>
      <c r="F135" s="3" t="s">
        <v>89</v>
      </c>
      <c r="G135" s="3" t="s">
        <v>723</v>
      </c>
      <c r="H135" s="13">
        <v>2009</v>
      </c>
      <c r="I135" s="13" t="s">
        <v>623</v>
      </c>
      <c r="J135" s="10">
        <f xml:space="preserve"> 27310036 * 1000000</f>
        <v>27310036000000</v>
      </c>
      <c r="K135" s="3"/>
      <c r="L135" s="3" t="s">
        <v>1388</v>
      </c>
      <c r="M135" s="3" t="s">
        <v>1389</v>
      </c>
      <c r="N135" s="3" t="s">
        <v>1390</v>
      </c>
      <c r="O135" s="3"/>
      <c r="P135" s="3"/>
      <c r="Q135" s="3"/>
      <c r="R135" s="3" t="s">
        <v>1391</v>
      </c>
      <c r="S135" s="3" t="s">
        <v>1392</v>
      </c>
      <c r="T135" s="3"/>
      <c r="U135" s="3"/>
      <c r="V135" s="3"/>
      <c r="W135" s="10">
        <f>IF( J135="s.i", "s.i", IF(ISBLANK(J135),"Actualizando información",IFERROR(J135 / VLOOKUP(A135,Deflactor!$G$3:$H$64,2,0),"Revisar error" )))</f>
        <v>25786967677746.293</v>
      </c>
      <c r="AR135" s="34">
        <f xml:space="preserve"> 26852009 * 1000</f>
        <v>26852009000</v>
      </c>
      <c r="AT135" s="46">
        <f t="shared" si="5"/>
        <v>26852009000</v>
      </c>
      <c r="AU135" s="54">
        <f xml:space="preserve"> IFERROR(ROUND(AT135 / VLOOKUP(A135,Tabla1[#All],2,0),0),"s.i")</f>
        <v>47108300</v>
      </c>
      <c r="AV135" s="33">
        <f xml:space="preserve"> IF(AU135="s.i", "s.i", IF(AND(AU135&gt;=Deflactor!$BQ$298,AU135&lt;Deflactor!$BQ$299), Deflactor!$BP$298, IF(AND(AU135&gt;=Deflactor!$BQ$299,AU135&lt;Deflactor!$BQ$300), Deflactor!$BP$299, IF(AND(AU135&gt;=Deflactor!$BQ$300,AU135&lt;Deflactor!$BQ$301), Deflactor!$BP$300, IF(AND(AU135&gt;=Deflactor!$BQ$301,AU135&lt;Deflactor!$BQ$302), Deflactor!$BP$301, IF(AND(AU135&gt;=Deflactor!$BQ$302,AU135&lt;Deflactor!$BQ$303), Deflactor!$BP$302, IF(AND(AU135&gt;=Deflactor!$BQ$303,AU135&lt;Deflactor!$BQ$304), Deflactor!$BP$303, IF(AND(AU135&gt;=Deflactor!$BQ$304,AU135&lt;Deflactor!$BQ$305), Deflactor!$BP$304, IF(AND(AU135&gt;=Deflactor!$BQ$305,AU135&lt;Deflactor!$BQ$306), Deflactor!$BP$305, IF(AND(AU135&gt;=Deflactor!$BQ$306,AU135&lt;Deflactor!$BQ$307), Deflactor!$BP$306, Deflactor!$BP$307) ) ) ) ) ) ) ) ) )</f>
        <v>8</v>
      </c>
    </row>
    <row r="136" spans="1:48" x14ac:dyDescent="0.25">
      <c r="A136" s="3">
        <v>2014</v>
      </c>
      <c r="B136" s="3" t="s">
        <v>193</v>
      </c>
      <c r="C136" s="3" t="s">
        <v>7</v>
      </c>
      <c r="D136" s="3" t="s">
        <v>36</v>
      </c>
      <c r="E136" s="3" t="s">
        <v>81</v>
      </c>
      <c r="F136" s="3" t="s">
        <v>194</v>
      </c>
      <c r="G136" s="3" t="s">
        <v>623</v>
      </c>
      <c r="H136" s="13">
        <v>1964</v>
      </c>
      <c r="I136" s="13" t="s">
        <v>623</v>
      </c>
      <c r="J136" s="10">
        <f xml:space="preserve"> 11549 * 1000000</f>
        <v>11549000000</v>
      </c>
      <c r="K136" s="3"/>
      <c r="L136" s="3" t="s">
        <v>1393</v>
      </c>
      <c r="M136" s="3" t="s">
        <v>1394</v>
      </c>
      <c r="N136" s="3" t="s">
        <v>1395</v>
      </c>
      <c r="O136" s="3"/>
      <c r="P136" s="3"/>
      <c r="Q136" s="3"/>
      <c r="R136" s="3" t="s">
        <v>1396</v>
      </c>
      <c r="S136" s="3" t="s">
        <v>1397</v>
      </c>
      <c r="T136" s="3" t="s">
        <v>1398</v>
      </c>
      <c r="U136" s="3"/>
      <c r="V136" s="3"/>
      <c r="W136" s="10">
        <f>IF( J136="s.i", "s.i", IF(ISBLANK(J136),"Actualizando información",IFERROR(J136 / VLOOKUP(A136,Deflactor!$G$3:$H$64,2,0),"Revisar error" )))</f>
        <v>10904917507.625839</v>
      </c>
      <c r="AR136" s="34">
        <f xml:space="preserve"> 20246240 * 1000</f>
        <v>20246240000</v>
      </c>
      <c r="AT136" s="46">
        <f t="shared" si="5"/>
        <v>20246240000</v>
      </c>
      <c r="AU136" s="54">
        <f xml:space="preserve"> IFERROR(ROUND(AT136 / VLOOKUP(A136,Tabla1[#All],2,0),0),"s.i")</f>
        <v>35519351</v>
      </c>
      <c r="AV136" s="33">
        <f xml:space="preserve"> IF(AU136="s.i", "s.i", IF(AND(AU136&gt;=Deflactor!$BQ$298,AU136&lt;Deflactor!$BQ$299), Deflactor!$BP$298, IF(AND(AU136&gt;=Deflactor!$BQ$299,AU136&lt;Deflactor!$BQ$300), Deflactor!$BP$299, IF(AND(AU136&gt;=Deflactor!$BQ$300,AU136&lt;Deflactor!$BQ$301), Deflactor!$BP$300, IF(AND(AU136&gt;=Deflactor!$BQ$301,AU136&lt;Deflactor!$BQ$302), Deflactor!$BP$301, IF(AND(AU136&gt;=Deflactor!$BQ$302,AU136&lt;Deflactor!$BQ$303), Deflactor!$BP$302, IF(AND(AU136&gt;=Deflactor!$BQ$303,AU136&lt;Deflactor!$BQ$304), Deflactor!$BP$303, IF(AND(AU136&gt;=Deflactor!$BQ$304,AU136&lt;Deflactor!$BQ$305), Deflactor!$BP$304, IF(AND(AU136&gt;=Deflactor!$BQ$305,AU136&lt;Deflactor!$BQ$306), Deflactor!$BP$305, IF(AND(AU136&gt;=Deflactor!$BQ$306,AU136&lt;Deflactor!$BQ$307), Deflactor!$BP$306, Deflactor!$BP$307) ) ) ) ) ) ) ) ) )</f>
        <v>8</v>
      </c>
    </row>
    <row r="137" spans="1:48" x14ac:dyDescent="0.25">
      <c r="A137" s="3">
        <v>2014</v>
      </c>
      <c r="B137" s="3" t="s">
        <v>195</v>
      </c>
      <c r="C137" s="3" t="s">
        <v>7</v>
      </c>
      <c r="D137" s="3" t="s">
        <v>36</v>
      </c>
      <c r="E137" s="3" t="s">
        <v>81</v>
      </c>
      <c r="F137" s="3" t="s">
        <v>194</v>
      </c>
      <c r="G137" s="3" t="s">
        <v>623</v>
      </c>
      <c r="H137" s="13">
        <v>1964</v>
      </c>
      <c r="I137" s="13" t="s">
        <v>623</v>
      </c>
      <c r="J137" s="10">
        <f t="shared" ref="J137:J141" si="6" xml:space="preserve"> 11549 * 1000000</f>
        <v>11549000000</v>
      </c>
      <c r="K137" s="3"/>
      <c r="L137" s="3" t="s">
        <v>1393</v>
      </c>
      <c r="M137" s="3" t="s">
        <v>1394</v>
      </c>
      <c r="N137" s="3" t="s">
        <v>1395</v>
      </c>
      <c r="O137" s="3"/>
      <c r="P137" s="3"/>
      <c r="Q137" s="3"/>
      <c r="R137" s="3" t="s">
        <v>1396</v>
      </c>
      <c r="S137" s="3" t="s">
        <v>1397</v>
      </c>
      <c r="T137" s="3" t="s">
        <v>1398</v>
      </c>
      <c r="U137" s="3"/>
      <c r="V137" s="3"/>
      <c r="W137" s="10">
        <f>IF( J137="s.i", "s.i", IF(ISBLANK(J137),"Actualizando información",IFERROR(J137 / VLOOKUP(A137,Deflactor!$G$3:$H$64,2,0),"Revisar error" )))</f>
        <v>10904917507.625839</v>
      </c>
      <c r="AR137" s="34" t="s">
        <v>2357</v>
      </c>
      <c r="AT137" s="46" t="str">
        <f>'Notas reunion'!T47</f>
        <v>s.i</v>
      </c>
      <c r="AU137" s="54" t="str">
        <f xml:space="preserve"> IFERROR(ROUND(AT137 / VLOOKUP(A137,Tabla1[#All],2,0),0),"s.i")</f>
        <v>s.i</v>
      </c>
      <c r="AV137" s="33" t="str">
        <f xml:space="preserve"> IF(AU137="s.i", "s.i", IF(AND(AU137&gt;=Deflactor!$BQ$298,AU137&lt;Deflactor!$BQ$299), Deflactor!$BP$298, IF(AND(AU137&gt;=Deflactor!$BQ$299,AU137&lt;Deflactor!$BQ$300), Deflactor!$BP$299, IF(AND(AU137&gt;=Deflactor!$BQ$300,AU137&lt;Deflactor!$BQ$301), Deflactor!$BP$300, IF(AND(AU137&gt;=Deflactor!$BQ$301,AU137&lt;Deflactor!$BQ$302), Deflactor!$BP$301, IF(AND(AU137&gt;=Deflactor!$BQ$302,AU137&lt;Deflactor!$BQ$303), Deflactor!$BP$302, IF(AND(AU137&gt;=Deflactor!$BQ$303,AU137&lt;Deflactor!$BQ$304), Deflactor!$BP$303, IF(AND(AU137&gt;=Deflactor!$BQ$304,AU137&lt;Deflactor!$BQ$305), Deflactor!$BP$304, IF(AND(AU137&gt;=Deflactor!$BQ$305,AU137&lt;Deflactor!$BQ$306), Deflactor!$BP$305, IF(AND(AU137&gt;=Deflactor!$BQ$306,AU137&lt;Deflactor!$BQ$307), Deflactor!$BP$306, Deflactor!$BP$307) ) ) ) ) ) ) ) ) )</f>
        <v>s.i</v>
      </c>
    </row>
    <row r="138" spans="1:48" x14ac:dyDescent="0.25">
      <c r="A138" s="3">
        <v>2014</v>
      </c>
      <c r="B138" s="3" t="s">
        <v>196</v>
      </c>
      <c r="C138" s="3" t="s">
        <v>7</v>
      </c>
      <c r="D138" s="3" t="s">
        <v>36</v>
      </c>
      <c r="E138" s="3" t="s">
        <v>81</v>
      </c>
      <c r="F138" s="3" t="s">
        <v>194</v>
      </c>
      <c r="G138" s="3" t="s">
        <v>623</v>
      </c>
      <c r="H138" s="13">
        <v>1964</v>
      </c>
      <c r="I138" s="13" t="s">
        <v>623</v>
      </c>
      <c r="J138" s="10">
        <f t="shared" si="6"/>
        <v>11549000000</v>
      </c>
      <c r="K138" s="3"/>
      <c r="L138" s="3" t="s">
        <v>1393</v>
      </c>
      <c r="M138" s="3" t="s">
        <v>1394</v>
      </c>
      <c r="N138" s="3" t="s">
        <v>1395</v>
      </c>
      <c r="O138" s="3"/>
      <c r="P138" s="3"/>
      <c r="Q138" s="3"/>
      <c r="R138" s="3" t="s">
        <v>1396</v>
      </c>
      <c r="S138" s="3" t="s">
        <v>1397</v>
      </c>
      <c r="T138" s="3" t="s">
        <v>1398</v>
      </c>
      <c r="U138" s="3"/>
      <c r="V138" s="3"/>
      <c r="W138" s="10">
        <f>IF( J138="s.i", "s.i", IF(ISBLANK(J138),"Actualizando información",IFERROR(J138 / VLOOKUP(A138,Deflactor!$G$3:$H$64,2,0),"Revisar error" )))</f>
        <v>10904917507.625839</v>
      </c>
      <c r="AR138" s="34">
        <f xml:space="preserve"> 20246240 * 1000</f>
        <v>20246240000</v>
      </c>
      <c r="AT138" s="46">
        <f t="shared" si="5"/>
        <v>20246240000</v>
      </c>
      <c r="AU138" s="54">
        <f xml:space="preserve"> IFERROR(ROUND(AT138 / VLOOKUP(A138,Tabla1[#All],2,0),0),"s.i")</f>
        <v>35519351</v>
      </c>
      <c r="AV138" s="33">
        <f xml:space="preserve"> IF(AU138="s.i", "s.i", IF(AND(AU138&gt;=Deflactor!$BQ$298,AU138&lt;Deflactor!$BQ$299), Deflactor!$BP$298, IF(AND(AU138&gt;=Deflactor!$BQ$299,AU138&lt;Deflactor!$BQ$300), Deflactor!$BP$299, IF(AND(AU138&gt;=Deflactor!$BQ$300,AU138&lt;Deflactor!$BQ$301), Deflactor!$BP$300, IF(AND(AU138&gt;=Deflactor!$BQ$301,AU138&lt;Deflactor!$BQ$302), Deflactor!$BP$301, IF(AND(AU138&gt;=Deflactor!$BQ$302,AU138&lt;Deflactor!$BQ$303), Deflactor!$BP$302, IF(AND(AU138&gt;=Deflactor!$BQ$303,AU138&lt;Deflactor!$BQ$304), Deflactor!$BP$303, IF(AND(AU138&gt;=Deflactor!$BQ$304,AU138&lt;Deflactor!$BQ$305), Deflactor!$BP$304, IF(AND(AU138&gt;=Deflactor!$BQ$305,AU138&lt;Deflactor!$BQ$306), Deflactor!$BP$305, IF(AND(AU138&gt;=Deflactor!$BQ$306,AU138&lt;Deflactor!$BQ$307), Deflactor!$BP$306, Deflactor!$BP$307) ) ) ) ) ) ) ) ) )</f>
        <v>8</v>
      </c>
    </row>
    <row r="139" spans="1:48" x14ac:dyDescent="0.25">
      <c r="A139" s="3">
        <v>2014</v>
      </c>
      <c r="B139" s="3" t="s">
        <v>197</v>
      </c>
      <c r="C139" s="3" t="s">
        <v>7</v>
      </c>
      <c r="D139" s="3" t="s">
        <v>36</v>
      </c>
      <c r="E139" s="3" t="s">
        <v>81</v>
      </c>
      <c r="F139" s="3" t="s">
        <v>95</v>
      </c>
      <c r="G139" s="3" t="s">
        <v>623</v>
      </c>
      <c r="H139" s="13">
        <v>1964</v>
      </c>
      <c r="I139" s="13" t="s">
        <v>623</v>
      </c>
      <c r="J139" s="10">
        <f t="shared" si="6"/>
        <v>11549000000</v>
      </c>
      <c r="K139" s="3"/>
      <c r="L139" s="3" t="s">
        <v>1393</v>
      </c>
      <c r="M139" s="3" t="s">
        <v>1394</v>
      </c>
      <c r="N139" s="3" t="s">
        <v>1395</v>
      </c>
      <c r="O139" s="3"/>
      <c r="P139" s="3"/>
      <c r="Q139" s="3"/>
      <c r="R139" s="3" t="s">
        <v>1396</v>
      </c>
      <c r="S139" s="3" t="s">
        <v>1397</v>
      </c>
      <c r="T139" s="3" t="s">
        <v>1398</v>
      </c>
      <c r="U139" s="3"/>
      <c r="V139" s="3" t="s">
        <v>1216</v>
      </c>
      <c r="W139" s="10">
        <f>IF( J139="s.i", "s.i", IF(ISBLANK(J139),"Actualizando información",IFERROR(J139 / VLOOKUP(A139,Deflactor!$G$3:$H$64,2,0),"Revisar error" )))</f>
        <v>10904917507.625839</v>
      </c>
      <c r="AR139" s="34">
        <f xml:space="preserve"> 314898 * 1000</f>
        <v>314898000</v>
      </c>
      <c r="AT139" s="46">
        <f t="shared" si="5"/>
        <v>314898000</v>
      </c>
      <c r="AU139" s="54">
        <f xml:space="preserve"> IFERROR(ROUND(AT139 / VLOOKUP(A139,Tabla1[#All],2,0),0),"s.i")</f>
        <v>552447</v>
      </c>
      <c r="AV139" s="33">
        <f xml:space="preserve"> IF(AU139="s.i", "s.i", IF(AND(AU139&gt;=Deflactor!$BQ$298,AU139&lt;Deflactor!$BQ$299), Deflactor!$BP$298, IF(AND(AU139&gt;=Deflactor!$BQ$299,AU139&lt;Deflactor!$BQ$300), Deflactor!$BP$299, IF(AND(AU139&gt;=Deflactor!$BQ$300,AU139&lt;Deflactor!$BQ$301), Deflactor!$BP$300, IF(AND(AU139&gt;=Deflactor!$BQ$301,AU139&lt;Deflactor!$BQ$302), Deflactor!$BP$301, IF(AND(AU139&gt;=Deflactor!$BQ$302,AU139&lt;Deflactor!$BQ$303), Deflactor!$BP$302, IF(AND(AU139&gt;=Deflactor!$BQ$303,AU139&lt;Deflactor!$BQ$304), Deflactor!$BP$303, IF(AND(AU139&gt;=Deflactor!$BQ$304,AU139&lt;Deflactor!$BQ$305), Deflactor!$BP$304, IF(AND(AU139&gt;=Deflactor!$BQ$305,AU139&lt;Deflactor!$BQ$306), Deflactor!$BP$305, IF(AND(AU139&gt;=Deflactor!$BQ$306,AU139&lt;Deflactor!$BQ$307), Deflactor!$BP$306, Deflactor!$BP$307) ) ) ) ) ) ) ) ) )</f>
        <v>1</v>
      </c>
    </row>
    <row r="140" spans="1:48" x14ac:dyDescent="0.25">
      <c r="A140" s="3">
        <v>2014</v>
      </c>
      <c r="B140" s="3" t="s">
        <v>205</v>
      </c>
      <c r="C140" s="3" t="s">
        <v>7</v>
      </c>
      <c r="D140" s="3" t="s">
        <v>36</v>
      </c>
      <c r="E140" s="3" t="s">
        <v>81</v>
      </c>
      <c r="F140" s="3" t="s">
        <v>89</v>
      </c>
      <c r="G140" s="3" t="s">
        <v>623</v>
      </c>
      <c r="H140" s="13">
        <v>1964</v>
      </c>
      <c r="I140" s="13" t="s">
        <v>623</v>
      </c>
      <c r="J140" s="10">
        <f t="shared" si="6"/>
        <v>11549000000</v>
      </c>
      <c r="K140" s="3" t="s">
        <v>1786</v>
      </c>
      <c r="L140" s="3" t="s">
        <v>1393</v>
      </c>
      <c r="M140" s="3" t="s">
        <v>1394</v>
      </c>
      <c r="N140" s="3" t="s">
        <v>1395</v>
      </c>
      <c r="O140" s="3"/>
      <c r="P140" s="3"/>
      <c r="Q140" s="3"/>
      <c r="R140" s="3" t="s">
        <v>1396</v>
      </c>
      <c r="S140" s="3" t="s">
        <v>1397</v>
      </c>
      <c r="T140" s="3" t="s">
        <v>1398</v>
      </c>
      <c r="U140" s="3"/>
      <c r="V140" s="3"/>
      <c r="W140" s="10">
        <f>IF( J140="s.i", "s.i", IF(ISBLANK(J140),"Actualizando información",IFERROR(J140 / VLOOKUP(A140,Deflactor!$G$3:$H$64,2,0),"Revisar error" )))</f>
        <v>10904917507.625839</v>
      </c>
      <c r="AR140" s="34" t="s">
        <v>2357</v>
      </c>
      <c r="AT140" s="46">
        <f>'Notas reunion'!T48</f>
        <v>312243000</v>
      </c>
      <c r="AU140" s="54">
        <f xml:space="preserve"> IFERROR(ROUND(AT140 / VLOOKUP(A140,Tabla1[#All],2,0),0),"s.i")</f>
        <v>547789</v>
      </c>
      <c r="AV140" s="33">
        <f xml:space="preserve"> IF(AU140="s.i", "s.i", IF(AND(AU140&gt;=Deflactor!$BQ$298,AU140&lt;Deflactor!$BQ$299), Deflactor!$BP$298, IF(AND(AU140&gt;=Deflactor!$BQ$299,AU140&lt;Deflactor!$BQ$300), Deflactor!$BP$299, IF(AND(AU140&gt;=Deflactor!$BQ$300,AU140&lt;Deflactor!$BQ$301), Deflactor!$BP$300, IF(AND(AU140&gt;=Deflactor!$BQ$301,AU140&lt;Deflactor!$BQ$302), Deflactor!$BP$301, IF(AND(AU140&gt;=Deflactor!$BQ$302,AU140&lt;Deflactor!$BQ$303), Deflactor!$BP$302, IF(AND(AU140&gt;=Deflactor!$BQ$303,AU140&lt;Deflactor!$BQ$304), Deflactor!$BP$303, IF(AND(AU140&gt;=Deflactor!$BQ$304,AU140&lt;Deflactor!$BQ$305), Deflactor!$BP$304, IF(AND(AU140&gt;=Deflactor!$BQ$305,AU140&lt;Deflactor!$BQ$306), Deflactor!$BP$305, IF(AND(AU140&gt;=Deflactor!$BQ$306,AU140&lt;Deflactor!$BQ$307), Deflactor!$BP$306, Deflactor!$BP$307) ) ) ) ) ) ) ) ) )</f>
        <v>1</v>
      </c>
    </row>
    <row r="141" spans="1:48" x14ac:dyDescent="0.25">
      <c r="A141" s="3">
        <v>2014</v>
      </c>
      <c r="B141" s="3" t="s">
        <v>206</v>
      </c>
      <c r="C141" s="3" t="s">
        <v>7</v>
      </c>
      <c r="D141" s="3" t="s">
        <v>36</v>
      </c>
      <c r="E141" s="3" t="s">
        <v>81</v>
      </c>
      <c r="F141" s="3" t="s">
        <v>95</v>
      </c>
      <c r="G141" s="3" t="s">
        <v>623</v>
      </c>
      <c r="H141" s="13">
        <v>1964</v>
      </c>
      <c r="I141" s="13" t="s">
        <v>623</v>
      </c>
      <c r="J141" s="10">
        <f t="shared" si="6"/>
        <v>11549000000</v>
      </c>
      <c r="K141" s="3"/>
      <c r="L141" s="3" t="s">
        <v>1393</v>
      </c>
      <c r="M141" s="3" t="s">
        <v>1394</v>
      </c>
      <c r="N141" s="3" t="s">
        <v>1395</v>
      </c>
      <c r="O141" s="3"/>
      <c r="P141" s="3"/>
      <c r="Q141" s="3"/>
      <c r="R141" s="3" t="s">
        <v>1396</v>
      </c>
      <c r="S141" s="3" t="s">
        <v>1397</v>
      </c>
      <c r="T141" s="3" t="s">
        <v>1398</v>
      </c>
      <c r="U141" s="3"/>
      <c r="V141" s="3"/>
      <c r="W141" s="10">
        <f>IF( J141="s.i", "s.i", IF(ISBLANK(J141),"Actualizando información",IFERROR(J141 / VLOOKUP(A141,Deflactor!$G$3:$H$64,2,0),"Revisar error" )))</f>
        <v>10904917507.625839</v>
      </c>
      <c r="AR141" s="10">
        <f xml:space="preserve"> 5960219 * 1000</f>
        <v>5960219000</v>
      </c>
      <c r="AT141" s="46">
        <f t="shared" si="5"/>
        <v>5960219000</v>
      </c>
      <c r="AU141" s="54">
        <f xml:space="preserve"> IFERROR(ROUND(AT141 / VLOOKUP(A141,Tabla1[#All],2,0),0),"s.i")</f>
        <v>10456416</v>
      </c>
      <c r="AV141" s="33">
        <f xml:space="preserve"> IF(AU141="s.i", "s.i", IF(AND(AU141&gt;=Deflactor!$BQ$298,AU141&lt;Deflactor!$BQ$299), Deflactor!$BP$298, IF(AND(AU141&gt;=Deflactor!$BQ$299,AU141&lt;Deflactor!$BQ$300), Deflactor!$BP$299, IF(AND(AU141&gt;=Deflactor!$BQ$300,AU141&lt;Deflactor!$BQ$301), Deflactor!$BP$300, IF(AND(AU141&gt;=Deflactor!$BQ$301,AU141&lt;Deflactor!$BQ$302), Deflactor!$BP$301, IF(AND(AU141&gt;=Deflactor!$BQ$302,AU141&lt;Deflactor!$BQ$303), Deflactor!$BP$302, IF(AND(AU141&gt;=Deflactor!$BQ$303,AU141&lt;Deflactor!$BQ$304), Deflactor!$BP$303, IF(AND(AU141&gt;=Deflactor!$BQ$304,AU141&lt;Deflactor!$BQ$305), Deflactor!$BP$304, IF(AND(AU141&gt;=Deflactor!$BQ$305,AU141&lt;Deflactor!$BQ$306), Deflactor!$BP$305, IF(AND(AU141&gt;=Deflactor!$BQ$306,AU141&lt;Deflactor!$BQ$307), Deflactor!$BP$306, Deflactor!$BP$307) ) ) ) ) ) ) ) ) )</f>
        <v>5</v>
      </c>
    </row>
    <row r="142" spans="1:48" x14ac:dyDescent="0.25">
      <c r="A142" s="3">
        <v>2014</v>
      </c>
      <c r="B142" s="3" t="s">
        <v>207</v>
      </c>
      <c r="C142" s="3" t="s">
        <v>7</v>
      </c>
      <c r="D142" s="3" t="s">
        <v>36</v>
      </c>
      <c r="E142" s="3" t="s">
        <v>68</v>
      </c>
      <c r="F142" s="3" t="s">
        <v>95</v>
      </c>
      <c r="G142" s="3" t="s">
        <v>723</v>
      </c>
      <c r="H142" s="12">
        <v>2005</v>
      </c>
      <c r="I142" s="13" t="s">
        <v>623</v>
      </c>
      <c r="J142" s="10">
        <f xml:space="preserve"> 6237.7 * 1000000</f>
        <v>6237700000</v>
      </c>
      <c r="K142" s="3" t="s">
        <v>1650</v>
      </c>
      <c r="L142" s="3" t="s">
        <v>891</v>
      </c>
      <c r="M142" s="3" t="s">
        <v>853</v>
      </c>
      <c r="N142" s="3" t="s">
        <v>854</v>
      </c>
      <c r="O142" s="3" t="s">
        <v>892</v>
      </c>
      <c r="P142" s="3" t="s">
        <v>893</v>
      </c>
      <c r="Q142" s="3" t="s">
        <v>894</v>
      </c>
      <c r="R142" s="11" t="s">
        <v>895</v>
      </c>
      <c r="S142" s="11" t="s">
        <v>896</v>
      </c>
      <c r="T142" s="11" t="s">
        <v>897</v>
      </c>
      <c r="U142" s="3" t="s">
        <v>1141</v>
      </c>
      <c r="V142" s="3"/>
      <c r="W142" s="10">
        <f>IF( J142="s.i", "s.i", IF(ISBLANK(J142),"Actualizando información",IFERROR(J142 / VLOOKUP(A142,Deflactor!$G$3:$H$64,2,0),"Revisar error" )))</f>
        <v>5889826299.8803101</v>
      </c>
      <c r="AR142" s="10">
        <f xml:space="preserve"> 5880004 * 1000</f>
        <v>5880004000</v>
      </c>
      <c r="AT142" s="46">
        <f t="shared" si="5"/>
        <v>5880004000</v>
      </c>
      <c r="AU142" s="54">
        <f xml:space="preserve"> IFERROR(ROUND(AT142 / VLOOKUP(A142,Tabla1[#All],2,0),0),"s.i")</f>
        <v>10315690</v>
      </c>
      <c r="AV142" s="33">
        <f xml:space="preserve"> IF(AU142="s.i", "s.i", IF(AND(AU142&gt;=Deflactor!$BQ$298,AU142&lt;Deflactor!$BQ$299), Deflactor!$BP$298, IF(AND(AU142&gt;=Deflactor!$BQ$299,AU142&lt;Deflactor!$BQ$300), Deflactor!$BP$299, IF(AND(AU142&gt;=Deflactor!$BQ$300,AU142&lt;Deflactor!$BQ$301), Deflactor!$BP$300, IF(AND(AU142&gt;=Deflactor!$BQ$301,AU142&lt;Deflactor!$BQ$302), Deflactor!$BP$301, IF(AND(AU142&gt;=Deflactor!$BQ$302,AU142&lt;Deflactor!$BQ$303), Deflactor!$BP$302, IF(AND(AU142&gt;=Deflactor!$BQ$303,AU142&lt;Deflactor!$BQ$304), Deflactor!$BP$303, IF(AND(AU142&gt;=Deflactor!$BQ$304,AU142&lt;Deflactor!$BQ$305), Deflactor!$BP$304, IF(AND(AU142&gt;=Deflactor!$BQ$305,AU142&lt;Deflactor!$BQ$306), Deflactor!$BP$305, IF(AND(AU142&gt;=Deflactor!$BQ$306,AU142&lt;Deflactor!$BQ$307), Deflactor!$BP$306, Deflactor!$BP$307) ) ) ) ) ) ) ) ) )</f>
        <v>5</v>
      </c>
    </row>
    <row r="143" spans="1:48" x14ac:dyDescent="0.25">
      <c r="A143" s="3">
        <v>2014</v>
      </c>
      <c r="B143" s="3" t="s">
        <v>208</v>
      </c>
      <c r="C143" s="3" t="s">
        <v>7</v>
      </c>
      <c r="D143" s="3" t="s">
        <v>40</v>
      </c>
      <c r="E143" s="3" t="s">
        <v>160</v>
      </c>
      <c r="F143" s="3" t="s">
        <v>95</v>
      </c>
      <c r="G143" s="3" t="s">
        <v>723</v>
      </c>
      <c r="H143" s="12">
        <v>1981</v>
      </c>
      <c r="I143" s="13" t="s">
        <v>623</v>
      </c>
      <c r="J143" s="10">
        <f xml:space="preserve"> 34285 * 1000000</f>
        <v>34285000000</v>
      </c>
      <c r="K143" s="3" t="s">
        <v>1830</v>
      </c>
      <c r="L143" s="3" t="s">
        <v>1399</v>
      </c>
      <c r="M143" s="3" t="s">
        <v>1400</v>
      </c>
      <c r="N143" s="3" t="s">
        <v>1401</v>
      </c>
      <c r="O143" s="3" t="s">
        <v>1402</v>
      </c>
      <c r="P143" s="3"/>
      <c r="Q143" s="3"/>
      <c r="R143" s="3" t="s">
        <v>1403</v>
      </c>
      <c r="S143" s="3" t="s">
        <v>1404</v>
      </c>
      <c r="T143" s="3" t="s">
        <v>1405</v>
      </c>
      <c r="U143" s="3"/>
      <c r="V143" s="3"/>
      <c r="W143" s="10">
        <f>IF( J143="s.i", "s.i", IF(ISBLANK(J143),"Actualizando información",IFERROR(J143 / VLOOKUP(A143,Deflactor!$G$3:$H$64,2,0),"Revisar error" )))</f>
        <v>32372941098.705681</v>
      </c>
      <c r="AR143" s="10">
        <f xml:space="preserve"> 34285184 * 1000</f>
        <v>34285184000</v>
      </c>
      <c r="AT143" s="46">
        <f t="shared" si="5"/>
        <v>34285184000</v>
      </c>
      <c r="AU143" s="54">
        <f xml:space="preserve"> IFERROR(ROUND(AT143 / VLOOKUP(A143,Tabla1[#All],2,0),0),"s.i")</f>
        <v>60148823</v>
      </c>
      <c r="AV143" s="33">
        <f xml:space="preserve"> IF(AU143="s.i", "s.i", IF(AND(AU143&gt;=Deflactor!$BQ$298,AU143&lt;Deflactor!$BQ$299), Deflactor!$BP$298, IF(AND(AU143&gt;=Deflactor!$BQ$299,AU143&lt;Deflactor!$BQ$300), Deflactor!$BP$299, IF(AND(AU143&gt;=Deflactor!$BQ$300,AU143&lt;Deflactor!$BQ$301), Deflactor!$BP$300, IF(AND(AU143&gt;=Deflactor!$BQ$301,AU143&lt;Deflactor!$BQ$302), Deflactor!$BP$301, IF(AND(AU143&gt;=Deflactor!$BQ$302,AU143&lt;Deflactor!$BQ$303), Deflactor!$BP$302, IF(AND(AU143&gt;=Deflactor!$BQ$303,AU143&lt;Deflactor!$BQ$304), Deflactor!$BP$303, IF(AND(AU143&gt;=Deflactor!$BQ$304,AU143&lt;Deflactor!$BQ$305), Deflactor!$BP$304, IF(AND(AU143&gt;=Deflactor!$BQ$305,AU143&lt;Deflactor!$BQ$306), Deflactor!$BP$305, IF(AND(AU143&gt;=Deflactor!$BQ$306,AU143&lt;Deflactor!$BQ$307), Deflactor!$BP$306, Deflactor!$BP$307) ) ) ) ) ) ) ) ) )</f>
        <v>9</v>
      </c>
    </row>
    <row r="144" spans="1:48" x14ac:dyDescent="0.25">
      <c r="A144" s="3">
        <v>2014</v>
      </c>
      <c r="B144" s="3" t="s">
        <v>198</v>
      </c>
      <c r="C144" s="3" t="s">
        <v>7</v>
      </c>
      <c r="D144" s="3" t="s">
        <v>54</v>
      </c>
      <c r="E144" s="3" t="s">
        <v>55</v>
      </c>
      <c r="F144" s="3" t="s">
        <v>89</v>
      </c>
      <c r="G144" s="3" t="s">
        <v>723</v>
      </c>
      <c r="H144" s="13">
        <v>2008</v>
      </c>
      <c r="I144" s="13" t="s">
        <v>623</v>
      </c>
      <c r="J144" s="10">
        <f xml:space="preserve"> 46130757 * 1000000</f>
        <v>46130757000000</v>
      </c>
      <c r="K144" s="3" t="s">
        <v>1659</v>
      </c>
      <c r="L144" s="3" t="s">
        <v>1406</v>
      </c>
      <c r="M144" s="3" t="s">
        <v>1407</v>
      </c>
      <c r="N144" s="3"/>
      <c r="O144" s="3"/>
      <c r="P144" s="3"/>
      <c r="Q144" s="3"/>
      <c r="R144" s="3" t="s">
        <v>1408</v>
      </c>
      <c r="S144" s="3" t="s">
        <v>1409</v>
      </c>
      <c r="T144" s="3"/>
      <c r="U144" s="3"/>
      <c r="V144" s="3"/>
      <c r="W144" s="10">
        <f>IF( J144="s.i", "s.i", IF(ISBLANK(J144),"Actualizando información",IFERROR(J144 / VLOOKUP(A144,Deflactor!$G$3:$H$64,2,0),"Revisar error" )))</f>
        <v>43558065603024.781</v>
      </c>
      <c r="AR144" s="34" t="s">
        <v>2357</v>
      </c>
      <c r="AT144" s="46">
        <f>'Notas reunion'!T49</f>
        <v>44468210000</v>
      </c>
      <c r="AU144" s="54">
        <f xml:space="preserve"> IFERROR(ROUND(AT144 / VLOOKUP(A144,Tabla1[#All],2,0),0),"s.i")</f>
        <v>78013596</v>
      </c>
      <c r="AV144" s="33">
        <f xml:space="preserve"> IF(AU144="s.i", "s.i", IF(AND(AU144&gt;=Deflactor!$BQ$298,AU144&lt;Deflactor!$BQ$299), Deflactor!$BP$298, IF(AND(AU144&gt;=Deflactor!$BQ$299,AU144&lt;Deflactor!$BQ$300), Deflactor!$BP$299, IF(AND(AU144&gt;=Deflactor!$BQ$300,AU144&lt;Deflactor!$BQ$301), Deflactor!$BP$300, IF(AND(AU144&gt;=Deflactor!$BQ$301,AU144&lt;Deflactor!$BQ$302), Deflactor!$BP$301, IF(AND(AU144&gt;=Deflactor!$BQ$302,AU144&lt;Deflactor!$BQ$303), Deflactor!$BP$302, IF(AND(AU144&gt;=Deflactor!$BQ$303,AU144&lt;Deflactor!$BQ$304), Deflactor!$BP$303, IF(AND(AU144&gt;=Deflactor!$BQ$304,AU144&lt;Deflactor!$BQ$305), Deflactor!$BP$304, IF(AND(AU144&gt;=Deflactor!$BQ$305,AU144&lt;Deflactor!$BQ$306), Deflactor!$BP$305, IF(AND(AU144&gt;=Deflactor!$BQ$306,AU144&lt;Deflactor!$BQ$307), Deflactor!$BP$306, Deflactor!$BP$307) ) ) ) ) ) ) ) ) )</f>
        <v>9</v>
      </c>
    </row>
    <row r="145" spans="1:48" x14ac:dyDescent="0.25">
      <c r="A145" s="3">
        <v>2014</v>
      </c>
      <c r="B145" s="3" t="s">
        <v>199</v>
      </c>
      <c r="C145" s="3" t="s">
        <v>7</v>
      </c>
      <c r="D145" s="3" t="s">
        <v>32</v>
      </c>
      <c r="E145" s="3" t="s">
        <v>33</v>
      </c>
      <c r="F145" s="3" t="s">
        <v>89</v>
      </c>
      <c r="G145" s="3" t="s">
        <v>723</v>
      </c>
      <c r="H145" s="13">
        <v>2011</v>
      </c>
      <c r="I145" s="13" t="s">
        <v>623</v>
      </c>
      <c r="J145" s="10">
        <f xml:space="preserve"> 215848343 * 1000</f>
        <v>215848343000</v>
      </c>
      <c r="K145" s="3" t="s">
        <v>1653</v>
      </c>
      <c r="L145" s="3" t="s">
        <v>1410</v>
      </c>
      <c r="M145" s="3" t="s">
        <v>1411</v>
      </c>
      <c r="N145" s="3" t="s">
        <v>1412</v>
      </c>
      <c r="O145" s="3"/>
      <c r="P145" s="3"/>
      <c r="Q145" s="3"/>
      <c r="R145" s="3" t="s">
        <v>1413</v>
      </c>
      <c r="S145" s="3" t="s">
        <v>1414</v>
      </c>
      <c r="T145" s="3"/>
      <c r="U145" s="3" t="s">
        <v>1197</v>
      </c>
      <c r="V145" s="3"/>
      <c r="W145" s="10">
        <f>IF( J145="s.i", "s.i", IF(ISBLANK(J145),"Actualizando información",IFERROR(J145 / VLOOKUP(A145,Deflactor!$G$3:$H$64,2,0),"Revisar error" )))</f>
        <v>203810578800.99811</v>
      </c>
      <c r="AR145" s="34">
        <f xml:space="preserve"> (1579222 + 3838249 + 3098960 + 10958085 + 16878226 + 13818608 + 19349283 + 22186502 + 14847326 + 11585787 + 2293046 + 3914402 + 87911471 + 3954004 + 845955) * 1000</f>
        <v>217059126000</v>
      </c>
      <c r="AT145" s="46">
        <f t="shared" si="5"/>
        <v>217059126000</v>
      </c>
      <c r="AU145" s="54">
        <f xml:space="preserve"> IFERROR(ROUND(AT145 / VLOOKUP(A145,Tabla1[#All],2,0),0),"s.i")</f>
        <v>380801540</v>
      </c>
      <c r="AV145" s="33">
        <f xml:space="preserve"> IF(AU145="s.i", "s.i", IF(AND(AU145&gt;=Deflactor!$BQ$298,AU145&lt;Deflactor!$BQ$299), Deflactor!$BP$298, IF(AND(AU145&gt;=Deflactor!$BQ$299,AU145&lt;Deflactor!$BQ$300), Deflactor!$BP$299, IF(AND(AU145&gt;=Deflactor!$BQ$300,AU145&lt;Deflactor!$BQ$301), Deflactor!$BP$300, IF(AND(AU145&gt;=Deflactor!$BQ$301,AU145&lt;Deflactor!$BQ$302), Deflactor!$BP$301, IF(AND(AU145&gt;=Deflactor!$BQ$302,AU145&lt;Deflactor!$BQ$303), Deflactor!$BP$302, IF(AND(AU145&gt;=Deflactor!$BQ$303,AU145&lt;Deflactor!$BQ$304), Deflactor!$BP$303, IF(AND(AU145&gt;=Deflactor!$BQ$304,AU145&lt;Deflactor!$BQ$305), Deflactor!$BP$304, IF(AND(AU145&gt;=Deflactor!$BQ$305,AU145&lt;Deflactor!$BQ$306), Deflactor!$BP$305, IF(AND(AU145&gt;=Deflactor!$BQ$306,AU145&lt;Deflactor!$BQ$307), Deflactor!$BP$306, Deflactor!$BP$307) ) ) ) ) ) ) ) ) )</f>
        <v>10</v>
      </c>
    </row>
    <row r="146" spans="1:48" x14ac:dyDescent="0.25">
      <c r="A146" s="3">
        <v>2014</v>
      </c>
      <c r="B146" s="3" t="s">
        <v>200</v>
      </c>
      <c r="C146" s="3" t="s">
        <v>7</v>
      </c>
      <c r="D146" s="3" t="s">
        <v>32</v>
      </c>
      <c r="E146" s="3" t="s">
        <v>33</v>
      </c>
      <c r="F146" s="3" t="s">
        <v>89</v>
      </c>
      <c r="G146" s="3" t="s">
        <v>623</v>
      </c>
      <c r="H146" s="13">
        <v>2002</v>
      </c>
      <c r="I146" s="13" t="s">
        <v>623</v>
      </c>
      <c r="J146" s="10">
        <f xml:space="preserve"> 3040838 * 1000</f>
        <v>3040838000</v>
      </c>
      <c r="K146" s="3"/>
      <c r="L146" s="3" t="s">
        <v>1415</v>
      </c>
      <c r="M146" s="3" t="s">
        <v>1416</v>
      </c>
      <c r="N146" s="3"/>
      <c r="O146" s="3"/>
      <c r="P146" s="3"/>
      <c r="Q146" s="3"/>
      <c r="R146" s="3" t="s">
        <v>1413</v>
      </c>
      <c r="S146" s="3" t="s">
        <v>1414</v>
      </c>
      <c r="T146" s="3"/>
      <c r="U146" s="3"/>
      <c r="V146" s="3"/>
      <c r="W146" s="10">
        <f>IF( J146="s.i", "s.i", IF(ISBLANK(J146),"Actualizando información",IFERROR(J146 / VLOOKUP(A146,Deflactor!$G$3:$H$64,2,0),"Revisar error" )))</f>
        <v>2871251843.8006701</v>
      </c>
      <c r="AR146" s="34">
        <f xml:space="preserve"> 3040838 * 1000</f>
        <v>3040838000</v>
      </c>
      <c r="AT146" s="46">
        <f t="shared" si="5"/>
        <v>3040838000</v>
      </c>
      <c r="AU146" s="54">
        <f xml:space="preserve"> IFERROR(ROUND(AT146 / VLOOKUP(A146,Tabla1[#All],2,0),0),"s.i")</f>
        <v>5334748</v>
      </c>
      <c r="AV146" s="33">
        <f xml:space="preserve"> IF(AU146="s.i", "s.i", IF(AND(AU146&gt;=Deflactor!$BQ$298,AU146&lt;Deflactor!$BQ$299), Deflactor!$BP$298, IF(AND(AU146&gt;=Deflactor!$BQ$299,AU146&lt;Deflactor!$BQ$300), Deflactor!$BP$299, IF(AND(AU146&gt;=Deflactor!$BQ$300,AU146&lt;Deflactor!$BQ$301), Deflactor!$BP$300, IF(AND(AU146&gt;=Deflactor!$BQ$301,AU146&lt;Deflactor!$BQ$302), Deflactor!$BP$301, IF(AND(AU146&gt;=Deflactor!$BQ$302,AU146&lt;Deflactor!$BQ$303), Deflactor!$BP$302, IF(AND(AU146&gt;=Deflactor!$BQ$303,AU146&lt;Deflactor!$BQ$304), Deflactor!$BP$303, IF(AND(AU146&gt;=Deflactor!$BQ$304,AU146&lt;Deflactor!$BQ$305), Deflactor!$BP$304, IF(AND(AU146&gt;=Deflactor!$BQ$305,AU146&lt;Deflactor!$BQ$306), Deflactor!$BP$305, IF(AND(AU146&gt;=Deflactor!$BQ$306,AU146&lt;Deflactor!$BQ$307), Deflactor!$BP$306, Deflactor!$BP$307) ) ) ) ) ) ) ) ) )</f>
        <v>3</v>
      </c>
    </row>
    <row r="147" spans="1:48" x14ac:dyDescent="0.25">
      <c r="A147" s="3">
        <v>2014</v>
      </c>
      <c r="B147" s="3" t="s">
        <v>204</v>
      </c>
      <c r="C147" s="3" t="s">
        <v>7</v>
      </c>
      <c r="D147" s="3" t="s">
        <v>12</v>
      </c>
      <c r="E147" s="3" t="s">
        <v>105</v>
      </c>
      <c r="F147" s="3" t="s">
        <v>95</v>
      </c>
      <c r="G147" s="3" t="s">
        <v>723</v>
      </c>
      <c r="H147" s="13">
        <v>2010</v>
      </c>
      <c r="I147" s="13" t="s">
        <v>623</v>
      </c>
      <c r="J147" s="10" t="s">
        <v>623</v>
      </c>
      <c r="K147" s="3"/>
      <c r="L147" s="3" t="s">
        <v>1417</v>
      </c>
      <c r="M147" s="3" t="s">
        <v>1418</v>
      </c>
      <c r="N147" s="3" t="s">
        <v>1419</v>
      </c>
      <c r="O147" s="3" t="s">
        <v>1420</v>
      </c>
      <c r="P147" s="3" t="s">
        <v>1421</v>
      </c>
      <c r="Q147" s="3"/>
      <c r="R147" s="3" t="s">
        <v>1422</v>
      </c>
      <c r="S147" s="3" t="s">
        <v>1423</v>
      </c>
      <c r="T147" s="3" t="s">
        <v>1424</v>
      </c>
      <c r="U147" s="3"/>
      <c r="V147" s="3"/>
      <c r="W147" s="10" t="str">
        <f>IF( J147="s.i", "s.i", IF(ISBLANK(J147),"Actualizando información",IFERROR(J147 / VLOOKUP(A147,Deflactor!$G$3:$H$64,2,0),"Revisar error" )))</f>
        <v>s.i</v>
      </c>
      <c r="AR147" s="34">
        <f xml:space="preserve"> 5863206 * 1000</f>
        <v>5863206000</v>
      </c>
      <c r="AT147" s="46">
        <f t="shared" si="5"/>
        <v>5863206000</v>
      </c>
      <c r="AU147" s="54">
        <f xml:space="preserve"> IFERROR(ROUND(AT147 / VLOOKUP(A147,Tabla1[#All],2,0),0),"s.i")</f>
        <v>10286220</v>
      </c>
      <c r="AV147" s="33">
        <f xml:space="preserve"> IF(AU147="s.i", "s.i", IF(AND(AU147&gt;=Deflactor!$BQ$298,AU147&lt;Deflactor!$BQ$299), Deflactor!$BP$298, IF(AND(AU147&gt;=Deflactor!$BQ$299,AU147&lt;Deflactor!$BQ$300), Deflactor!$BP$299, IF(AND(AU147&gt;=Deflactor!$BQ$300,AU147&lt;Deflactor!$BQ$301), Deflactor!$BP$300, IF(AND(AU147&gt;=Deflactor!$BQ$301,AU147&lt;Deflactor!$BQ$302), Deflactor!$BP$301, IF(AND(AU147&gt;=Deflactor!$BQ$302,AU147&lt;Deflactor!$BQ$303), Deflactor!$BP$302, IF(AND(AU147&gt;=Deflactor!$BQ$303,AU147&lt;Deflactor!$BQ$304), Deflactor!$BP$303, IF(AND(AU147&gt;=Deflactor!$BQ$304,AU147&lt;Deflactor!$BQ$305), Deflactor!$BP$304, IF(AND(AU147&gt;=Deflactor!$BQ$305,AU147&lt;Deflactor!$BQ$306), Deflactor!$BP$305, IF(AND(AU147&gt;=Deflactor!$BQ$306,AU147&lt;Deflactor!$BQ$307), Deflactor!$BP$306, Deflactor!$BP$307) ) ) ) ) ) ) ) ) )</f>
        <v>5</v>
      </c>
    </row>
    <row r="148" spans="1:48" x14ac:dyDescent="0.25">
      <c r="A148" s="3">
        <v>2014</v>
      </c>
      <c r="B148" s="3" t="s">
        <v>202</v>
      </c>
      <c r="C148" s="3" t="s">
        <v>92</v>
      </c>
      <c r="D148" s="3" t="s">
        <v>64</v>
      </c>
      <c r="E148" s="3" t="s">
        <v>203</v>
      </c>
      <c r="F148" s="3" t="s">
        <v>95</v>
      </c>
      <c r="G148" s="3" t="s">
        <v>723</v>
      </c>
      <c r="H148" s="13">
        <v>1981</v>
      </c>
      <c r="I148" s="13" t="s">
        <v>623</v>
      </c>
      <c r="J148" s="10">
        <f xml:space="preserve"> 275.3 * 1000000000</f>
        <v>275300000000</v>
      </c>
      <c r="K148" s="3"/>
      <c r="L148" s="3" t="s">
        <v>1425</v>
      </c>
      <c r="M148" s="3" t="s">
        <v>1426</v>
      </c>
      <c r="N148" s="3"/>
      <c r="O148" s="3"/>
      <c r="P148" s="3"/>
      <c r="Q148" s="3"/>
      <c r="R148" s="3" t="s">
        <v>1427</v>
      </c>
      <c r="S148" s="3" t="s">
        <v>1428</v>
      </c>
      <c r="T148" s="3"/>
      <c r="U148" s="3"/>
      <c r="V148" s="3"/>
      <c r="W148" s="10">
        <f>IF( J148="s.i", "s.i", IF(ISBLANK(J148),"Actualizando información",IFERROR(J148 / VLOOKUP(A148,Deflactor!$G$3:$H$64,2,0),"Revisar error" )))</f>
        <v>259946643852.22906</v>
      </c>
      <c r="AR148" s="10">
        <f xml:space="preserve"> 197941838 * 1000</f>
        <v>197941838000</v>
      </c>
      <c r="AT148" s="46">
        <f t="shared" si="5"/>
        <v>197941838000</v>
      </c>
      <c r="AU148" s="54">
        <f xml:space="preserve"> IFERROR(ROUND(AT148 / VLOOKUP(A148,Tabla1[#All],2,0),0),"s.i")</f>
        <v>347262786</v>
      </c>
      <c r="AV148" s="33">
        <f xml:space="preserve"> IF(AU148="s.i", "s.i", IF(AND(AU148&gt;=Deflactor!$BQ$298,AU148&lt;Deflactor!$BQ$299), Deflactor!$BP$298, IF(AND(AU148&gt;=Deflactor!$BQ$299,AU148&lt;Deflactor!$BQ$300), Deflactor!$BP$299, IF(AND(AU148&gt;=Deflactor!$BQ$300,AU148&lt;Deflactor!$BQ$301), Deflactor!$BP$300, IF(AND(AU148&gt;=Deflactor!$BQ$301,AU148&lt;Deflactor!$BQ$302), Deflactor!$BP$301, IF(AND(AU148&gt;=Deflactor!$BQ$302,AU148&lt;Deflactor!$BQ$303), Deflactor!$BP$302, IF(AND(AU148&gt;=Deflactor!$BQ$303,AU148&lt;Deflactor!$BQ$304), Deflactor!$BP$303, IF(AND(AU148&gt;=Deflactor!$BQ$304,AU148&lt;Deflactor!$BQ$305), Deflactor!$BP$304, IF(AND(AU148&gt;=Deflactor!$BQ$305,AU148&lt;Deflactor!$BQ$306), Deflactor!$BP$305, IF(AND(AU148&gt;=Deflactor!$BQ$306,AU148&lt;Deflactor!$BQ$307), Deflactor!$BP$306, Deflactor!$BP$307) ) ) ) ) ) ) ) ) )</f>
        <v>10</v>
      </c>
    </row>
    <row r="149" spans="1:48" x14ac:dyDescent="0.25">
      <c r="A149" s="3">
        <v>2014</v>
      </c>
      <c r="B149" s="3" t="s">
        <v>209</v>
      </c>
      <c r="C149" s="3" t="s">
        <v>7</v>
      </c>
      <c r="D149" s="3" t="s">
        <v>48</v>
      </c>
      <c r="E149" s="3" t="s">
        <v>49</v>
      </c>
      <c r="F149" s="3" t="s">
        <v>89</v>
      </c>
      <c r="G149" s="3" t="s">
        <v>623</v>
      </c>
      <c r="H149" s="12">
        <v>1993</v>
      </c>
      <c r="I149" s="13" t="s">
        <v>623</v>
      </c>
      <c r="J149" s="10">
        <f xml:space="preserve"> 4013 * 1000000</f>
        <v>4013000000</v>
      </c>
      <c r="K149" s="3"/>
      <c r="L149" s="3" t="s">
        <v>1429</v>
      </c>
      <c r="M149" s="3" t="s">
        <v>1430</v>
      </c>
      <c r="N149" s="3" t="s">
        <v>1431</v>
      </c>
      <c r="O149" s="3" t="s">
        <v>1432</v>
      </c>
      <c r="P149" s="3"/>
      <c r="Q149" s="3"/>
      <c r="R149" s="3" t="s">
        <v>1433</v>
      </c>
      <c r="S149" s="3" t="s">
        <v>1434</v>
      </c>
      <c r="T149" s="3"/>
      <c r="U149" s="3"/>
      <c r="V149" s="3"/>
      <c r="W149" s="10">
        <f>IF( J149="s.i", "s.i", IF(ISBLANK(J149),"Actualizando información",IFERROR(J149 / VLOOKUP(A149,Deflactor!$G$3:$H$64,2,0),"Revisar error" )))</f>
        <v>3789196809.9491291</v>
      </c>
      <c r="AR149" s="10">
        <f xml:space="preserve"> 4012788 * 1000</f>
        <v>4012788000</v>
      </c>
      <c r="AT149" s="46">
        <f t="shared" si="5"/>
        <v>4012788000</v>
      </c>
      <c r="AU149" s="54">
        <f xml:space="preserve"> IFERROR(ROUND(AT149 / VLOOKUP(A149,Tabla1[#All],2,0),0),"s.i")</f>
        <v>7039906</v>
      </c>
      <c r="AV149" s="33">
        <f xml:space="preserve"> IF(AU149="s.i", "s.i", IF(AND(AU149&gt;=Deflactor!$BQ$298,AU149&lt;Deflactor!$BQ$299), Deflactor!$BP$298, IF(AND(AU149&gt;=Deflactor!$BQ$299,AU149&lt;Deflactor!$BQ$300), Deflactor!$BP$299, IF(AND(AU149&gt;=Deflactor!$BQ$300,AU149&lt;Deflactor!$BQ$301), Deflactor!$BP$300, IF(AND(AU149&gt;=Deflactor!$BQ$301,AU149&lt;Deflactor!$BQ$302), Deflactor!$BP$301, IF(AND(AU149&gt;=Deflactor!$BQ$302,AU149&lt;Deflactor!$BQ$303), Deflactor!$BP$302, IF(AND(AU149&gt;=Deflactor!$BQ$303,AU149&lt;Deflactor!$BQ$304), Deflactor!$BP$303, IF(AND(AU149&gt;=Deflactor!$BQ$304,AU149&lt;Deflactor!$BQ$305), Deflactor!$BP$304, IF(AND(AU149&gt;=Deflactor!$BQ$305,AU149&lt;Deflactor!$BQ$306), Deflactor!$BP$305, IF(AND(AU149&gt;=Deflactor!$BQ$306,AU149&lt;Deflactor!$BQ$307), Deflactor!$BP$306, Deflactor!$BP$307) ) ) ) ) ) ) ) ) )</f>
        <v>3</v>
      </c>
    </row>
    <row r="150" spans="1:48" x14ac:dyDescent="0.25">
      <c r="A150" s="3">
        <v>2014</v>
      </c>
      <c r="B150" s="3" t="s">
        <v>210</v>
      </c>
      <c r="C150" s="3" t="s">
        <v>7</v>
      </c>
      <c r="D150" s="3" t="s">
        <v>48</v>
      </c>
      <c r="E150" s="3" t="s">
        <v>88</v>
      </c>
      <c r="F150" s="3" t="s">
        <v>89</v>
      </c>
      <c r="G150" s="3" t="s">
        <v>903</v>
      </c>
      <c r="H150" s="13">
        <v>2001</v>
      </c>
      <c r="I150" s="13" t="s">
        <v>623</v>
      </c>
      <c r="J150" s="10">
        <f xml:space="preserve"> 13838 * 1000000</f>
        <v>13838000000</v>
      </c>
      <c r="K150" s="3" t="s">
        <v>1667</v>
      </c>
      <c r="L150" s="3" t="s">
        <v>1435</v>
      </c>
      <c r="M150" s="3" t="s">
        <v>1436</v>
      </c>
      <c r="N150" s="3" t="s">
        <v>1437</v>
      </c>
      <c r="O150" s="3" t="s">
        <v>1438</v>
      </c>
      <c r="P150" s="3" t="s">
        <v>1439</v>
      </c>
      <c r="Q150" s="3"/>
      <c r="R150" s="3" t="s">
        <v>1440</v>
      </c>
      <c r="S150" s="3" t="s">
        <v>1441</v>
      </c>
      <c r="T150" s="3"/>
      <c r="U150" s="3"/>
      <c r="V150" s="3"/>
      <c r="W150" s="10">
        <f>IF( J150="s.i", "s.i", IF(ISBLANK(J150),"Actualizando información",IFERROR(J150 / VLOOKUP(A150,Deflactor!$G$3:$H$64,2,0),"Revisar error" )))</f>
        <v>13066261015.717928</v>
      </c>
      <c r="AR150" s="10">
        <f xml:space="preserve"> 13838050 * 1000</f>
        <v>13838050000</v>
      </c>
      <c r="AT150" s="46">
        <f t="shared" si="5"/>
        <v>13838050000</v>
      </c>
      <c r="AU150" s="54">
        <f xml:space="preserve"> IFERROR(ROUND(AT150 / VLOOKUP(A150,Tabla1[#All],2,0),0),"s.i")</f>
        <v>24277029</v>
      </c>
      <c r="AV150" s="33">
        <f xml:space="preserve"> IF(AU150="s.i", "s.i", IF(AND(AU150&gt;=Deflactor!$BQ$298,AU150&lt;Deflactor!$BQ$299), Deflactor!$BP$298, IF(AND(AU150&gt;=Deflactor!$BQ$299,AU150&lt;Deflactor!$BQ$300), Deflactor!$BP$299, IF(AND(AU150&gt;=Deflactor!$BQ$300,AU150&lt;Deflactor!$BQ$301), Deflactor!$BP$300, IF(AND(AU150&gt;=Deflactor!$BQ$301,AU150&lt;Deflactor!$BQ$302), Deflactor!$BP$301, IF(AND(AU150&gt;=Deflactor!$BQ$302,AU150&lt;Deflactor!$BQ$303), Deflactor!$BP$302, IF(AND(AU150&gt;=Deflactor!$BQ$303,AU150&lt;Deflactor!$BQ$304), Deflactor!$BP$303, IF(AND(AU150&gt;=Deflactor!$BQ$304,AU150&lt;Deflactor!$BQ$305), Deflactor!$BP$304, IF(AND(AU150&gt;=Deflactor!$BQ$305,AU150&lt;Deflactor!$BQ$306), Deflactor!$BP$305, IF(AND(AU150&gt;=Deflactor!$BQ$306,AU150&lt;Deflactor!$BQ$307), Deflactor!$BP$306, Deflactor!$BP$307) ) ) ) ) ) ) ) ) )</f>
        <v>7</v>
      </c>
    </row>
    <row r="151" spans="1:48" x14ac:dyDescent="0.25">
      <c r="A151" s="3">
        <v>2013</v>
      </c>
      <c r="B151" s="3" t="s">
        <v>213</v>
      </c>
      <c r="C151" s="3" t="s">
        <v>7</v>
      </c>
      <c r="D151" s="3" t="s">
        <v>8</v>
      </c>
      <c r="E151" s="3" t="s">
        <v>214</v>
      </c>
      <c r="F151" s="3" t="s">
        <v>95</v>
      </c>
      <c r="G151" s="3" t="s">
        <v>723</v>
      </c>
      <c r="H151" s="12">
        <v>2008</v>
      </c>
      <c r="I151" s="13"/>
      <c r="J151" s="10">
        <f xml:space="preserve"> 5539 * 1000000</f>
        <v>5539000000</v>
      </c>
      <c r="K151" s="3"/>
      <c r="L151" s="3" t="s">
        <v>2204</v>
      </c>
      <c r="M151" s="3" t="s">
        <v>2205</v>
      </c>
      <c r="N151" s="3" t="s">
        <v>2206</v>
      </c>
      <c r="O151" s="3" t="s">
        <v>2207</v>
      </c>
      <c r="P151" s="3" t="s">
        <v>2208</v>
      </c>
      <c r="Q151" s="3"/>
      <c r="R151" s="11" t="s">
        <v>2201</v>
      </c>
      <c r="S151" s="11" t="s">
        <v>2202</v>
      </c>
      <c r="T151" s="11" t="s">
        <v>2203</v>
      </c>
      <c r="U151" s="3"/>
      <c r="V151" s="3"/>
      <c r="W151" s="10">
        <f>IF( J151="s.i", "s.i", IF(ISBLANK(J151),"Actualizando información",IFERROR(J151 / VLOOKUP(A151,Deflactor!$G$3:$H$64,2,0),"Revisar error" )))</f>
        <v>5539000000</v>
      </c>
      <c r="AR151" s="34">
        <f xml:space="preserve"> 877025 * 1000</f>
        <v>877025000</v>
      </c>
      <c r="AT151" s="46">
        <f t="shared" si="5"/>
        <v>877025000</v>
      </c>
      <c r="AU151" s="54">
        <f xml:space="preserve"> IFERROR(ROUND(AT151 / VLOOKUP(A151,Tabla1[#All],2,0),0),"s.i")</f>
        <v>1771785</v>
      </c>
      <c r="AV151" s="33">
        <f xml:space="preserve"> IF(AU151="s.i", "s.i", IF(AND(AU151&gt;=Deflactor!$BQ$298,AU151&lt;Deflactor!$BQ$299), Deflactor!$BP$298, IF(AND(AU151&gt;=Deflactor!$BQ$299,AU151&lt;Deflactor!$BQ$300), Deflactor!$BP$299, IF(AND(AU151&gt;=Deflactor!$BQ$300,AU151&lt;Deflactor!$BQ$301), Deflactor!$BP$300, IF(AND(AU151&gt;=Deflactor!$BQ$301,AU151&lt;Deflactor!$BQ$302), Deflactor!$BP$301, IF(AND(AU151&gt;=Deflactor!$BQ$302,AU151&lt;Deflactor!$BQ$303), Deflactor!$BP$302, IF(AND(AU151&gt;=Deflactor!$BQ$303,AU151&lt;Deflactor!$BQ$304), Deflactor!$BP$303, IF(AND(AU151&gt;=Deflactor!$BQ$304,AU151&lt;Deflactor!$BQ$305), Deflactor!$BP$304, IF(AND(AU151&gt;=Deflactor!$BQ$305,AU151&lt;Deflactor!$BQ$306), Deflactor!$BP$305, IF(AND(AU151&gt;=Deflactor!$BQ$306,AU151&lt;Deflactor!$BQ$307), Deflactor!$BP$306, Deflactor!$BP$307) ) ) ) ) ) ) ) ) )</f>
        <v>1</v>
      </c>
    </row>
    <row r="152" spans="1:48" x14ac:dyDescent="0.25">
      <c r="A152" s="3">
        <v>2013</v>
      </c>
      <c r="B152" s="3" t="s">
        <v>215</v>
      </c>
      <c r="C152" s="3" t="s">
        <v>155</v>
      </c>
      <c r="D152" s="3" t="s">
        <v>216</v>
      </c>
      <c r="E152" s="3" t="s">
        <v>217</v>
      </c>
      <c r="F152" s="3" t="s">
        <v>157</v>
      </c>
      <c r="G152" s="3" t="s">
        <v>723</v>
      </c>
      <c r="H152" s="13">
        <v>2003</v>
      </c>
      <c r="I152" s="13"/>
      <c r="J152" s="13" t="s">
        <v>623</v>
      </c>
      <c r="K152" s="3"/>
      <c r="L152" s="3" t="s">
        <v>2212</v>
      </c>
      <c r="M152" s="3" t="s">
        <v>2213</v>
      </c>
      <c r="N152" s="3" t="s">
        <v>2214</v>
      </c>
      <c r="O152" s="3" t="s">
        <v>2215</v>
      </c>
      <c r="P152" s="3" t="s">
        <v>2216</v>
      </c>
      <c r="Q152" s="3"/>
      <c r="R152" s="29" t="s">
        <v>2209</v>
      </c>
      <c r="S152" s="29" t="s">
        <v>2210</v>
      </c>
      <c r="T152" s="11" t="s">
        <v>2211</v>
      </c>
      <c r="U152" s="3" t="s">
        <v>215</v>
      </c>
      <c r="V152" s="3"/>
      <c r="W152" s="10" t="str">
        <f>IF( J152="s.i", "s.i", IF(ISBLANK(J152),"Actualizando información",IFERROR(J152 / VLOOKUP(A152,Deflactor!$G$3:$H$64,2,0),"Revisar error" )))</f>
        <v>s.i</v>
      </c>
      <c r="AR152" s="34">
        <f xml:space="preserve"> 6969715 * 1000</f>
        <v>6969715000</v>
      </c>
      <c r="AT152" s="46">
        <f t="shared" si="5"/>
        <v>6969715000</v>
      </c>
      <c r="AU152" s="54">
        <f xml:space="preserve"> IFERROR(ROUND(AT152 / VLOOKUP(A152,Tabla1[#All],2,0),0),"s.i")</f>
        <v>14080370</v>
      </c>
      <c r="AV152" s="33">
        <f xml:space="preserve"> IF(AU152="s.i", "s.i", IF(AND(AU152&gt;=Deflactor!$BQ$298,AU152&lt;Deflactor!$BQ$299), Deflactor!$BP$298, IF(AND(AU152&gt;=Deflactor!$BQ$299,AU152&lt;Deflactor!$BQ$300), Deflactor!$BP$299, IF(AND(AU152&gt;=Deflactor!$BQ$300,AU152&lt;Deflactor!$BQ$301), Deflactor!$BP$300, IF(AND(AU152&gt;=Deflactor!$BQ$301,AU152&lt;Deflactor!$BQ$302), Deflactor!$BP$301, IF(AND(AU152&gt;=Deflactor!$BQ$302,AU152&lt;Deflactor!$BQ$303), Deflactor!$BP$302, IF(AND(AU152&gt;=Deflactor!$BQ$303,AU152&lt;Deflactor!$BQ$304), Deflactor!$BP$303, IF(AND(AU152&gt;=Deflactor!$BQ$304,AU152&lt;Deflactor!$BQ$305), Deflactor!$BP$304, IF(AND(AU152&gt;=Deflactor!$BQ$305,AU152&lt;Deflactor!$BQ$306), Deflactor!$BP$305, IF(AND(AU152&gt;=Deflactor!$BQ$306,AU152&lt;Deflactor!$BQ$307), Deflactor!$BP$306, Deflactor!$BP$307) ) ) ) ) ) ) ) ) )</f>
        <v>5</v>
      </c>
    </row>
    <row r="153" spans="1:48" x14ac:dyDescent="0.25">
      <c r="A153" s="3">
        <v>2013</v>
      </c>
      <c r="B153" s="3" t="s">
        <v>218</v>
      </c>
      <c r="C153" s="3" t="s">
        <v>7</v>
      </c>
      <c r="D153" s="3" t="s">
        <v>12</v>
      </c>
      <c r="E153" s="3" t="s">
        <v>13</v>
      </c>
      <c r="F153" s="3" t="s">
        <v>95</v>
      </c>
      <c r="G153" s="3" t="s">
        <v>723</v>
      </c>
      <c r="H153" s="12">
        <v>2008</v>
      </c>
      <c r="I153" s="13"/>
      <c r="J153" s="10">
        <f xml:space="preserve"> 16951 * 1000000</f>
        <v>16951000000</v>
      </c>
      <c r="K153" s="3"/>
      <c r="L153" s="3" t="s">
        <v>2220</v>
      </c>
      <c r="M153" s="3" t="s">
        <v>2221</v>
      </c>
      <c r="N153" s="3" t="s">
        <v>2222</v>
      </c>
      <c r="O153" s="3" t="s">
        <v>2223</v>
      </c>
      <c r="P153" s="3" t="s">
        <v>2224</v>
      </c>
      <c r="Q153" s="3"/>
      <c r="R153" s="29" t="s">
        <v>2217</v>
      </c>
      <c r="S153" s="11" t="s">
        <v>2218</v>
      </c>
      <c r="T153" s="11" t="s">
        <v>2219</v>
      </c>
      <c r="U153" s="3"/>
      <c r="V153" s="3"/>
      <c r="W153" s="10">
        <f>IF( J153="s.i", "s.i", IF(ISBLANK(J153),"Actualizando información",IFERROR(J153 / VLOOKUP(A153,Deflactor!$G$3:$H$64,2,0),"Revisar error" )))</f>
        <v>16951000000</v>
      </c>
      <c r="AR153" s="34">
        <f xml:space="preserve"> 18361024 * 1000</f>
        <v>18361024000</v>
      </c>
      <c r="AT153" s="46">
        <f t="shared" si="5"/>
        <v>18361024000</v>
      </c>
      <c r="AU153" s="54">
        <f xml:space="preserve"> IFERROR(ROUND(AT153 / VLOOKUP(A153,Tabla1[#All],2,0),0),"s.i")</f>
        <v>37093340</v>
      </c>
      <c r="AV153" s="33">
        <f xml:space="preserve"> IF(AU153="s.i", "s.i", IF(AND(AU153&gt;=Deflactor!$BQ$298,AU153&lt;Deflactor!$BQ$299), Deflactor!$BP$298, IF(AND(AU153&gt;=Deflactor!$BQ$299,AU153&lt;Deflactor!$BQ$300), Deflactor!$BP$299, IF(AND(AU153&gt;=Deflactor!$BQ$300,AU153&lt;Deflactor!$BQ$301), Deflactor!$BP$300, IF(AND(AU153&gt;=Deflactor!$BQ$301,AU153&lt;Deflactor!$BQ$302), Deflactor!$BP$301, IF(AND(AU153&gt;=Deflactor!$BQ$302,AU153&lt;Deflactor!$BQ$303), Deflactor!$BP$302, IF(AND(AU153&gt;=Deflactor!$BQ$303,AU153&lt;Deflactor!$BQ$304), Deflactor!$BP$303, IF(AND(AU153&gt;=Deflactor!$BQ$304,AU153&lt;Deflactor!$BQ$305), Deflactor!$BP$304, IF(AND(AU153&gt;=Deflactor!$BQ$305,AU153&lt;Deflactor!$BQ$306), Deflactor!$BP$305, IF(AND(AU153&gt;=Deflactor!$BQ$306,AU153&lt;Deflactor!$BQ$307), Deflactor!$BP$306, Deflactor!$BP$307) ) ) ) ) ) ) ) ) )</f>
        <v>8</v>
      </c>
    </row>
    <row r="154" spans="1:48" x14ac:dyDescent="0.25">
      <c r="A154" s="3">
        <v>2013</v>
      </c>
      <c r="B154" s="3" t="s">
        <v>219</v>
      </c>
      <c r="C154" s="3" t="s">
        <v>7</v>
      </c>
      <c r="D154" s="3" t="s">
        <v>40</v>
      </c>
      <c r="E154" s="3" t="s">
        <v>160</v>
      </c>
      <c r="F154" s="3" t="s">
        <v>194</v>
      </c>
      <c r="G154" s="13" t="s">
        <v>623</v>
      </c>
      <c r="H154" s="12">
        <v>2010</v>
      </c>
      <c r="I154" s="13" t="s">
        <v>623</v>
      </c>
      <c r="J154" s="10">
        <f xml:space="preserve"> 1065 * 1000000</f>
        <v>1065000000</v>
      </c>
      <c r="K154" s="3"/>
      <c r="L154" s="3" t="s">
        <v>2228</v>
      </c>
      <c r="M154" s="3" t="s">
        <v>2229</v>
      </c>
      <c r="N154" s="3" t="s">
        <v>2230</v>
      </c>
      <c r="O154" s="3" t="s">
        <v>2231</v>
      </c>
      <c r="P154" s="3" t="s">
        <v>2232</v>
      </c>
      <c r="Q154" s="3"/>
      <c r="R154" s="11" t="s">
        <v>2225</v>
      </c>
      <c r="S154" s="11" t="s">
        <v>2226</v>
      </c>
      <c r="T154" s="11" t="s">
        <v>2227</v>
      </c>
      <c r="U154" s="3"/>
      <c r="V154" s="3"/>
      <c r="W154" s="10">
        <f>IF( J154="s.i", "s.i", IF(ISBLANK(J154),"Actualizando información",IFERROR(J154 / VLOOKUP(A154,Deflactor!$G$3:$H$64,2,0),"Revisar error" )))</f>
        <v>1065000000</v>
      </c>
      <c r="AR154" s="34" t="s">
        <v>2357</v>
      </c>
      <c r="AT154" s="46">
        <f>'Notas reunion'!T50</f>
        <v>44850000000</v>
      </c>
      <c r="AU154" s="54">
        <f xml:space="preserve"> IFERROR(ROUND(AT154 / VLOOKUP(A154,Tabla1[#All],2,0),0),"s.i")</f>
        <v>90606946</v>
      </c>
      <c r="AV154" s="33">
        <f xml:space="preserve"> IF(AU154="s.i", "s.i", IF(AND(AU154&gt;=Deflactor!$BQ$298,AU154&lt;Deflactor!$BQ$299), Deflactor!$BP$298, IF(AND(AU154&gt;=Deflactor!$BQ$299,AU154&lt;Deflactor!$BQ$300), Deflactor!$BP$299, IF(AND(AU154&gt;=Deflactor!$BQ$300,AU154&lt;Deflactor!$BQ$301), Deflactor!$BP$300, IF(AND(AU154&gt;=Deflactor!$BQ$301,AU154&lt;Deflactor!$BQ$302), Deflactor!$BP$301, IF(AND(AU154&gt;=Deflactor!$BQ$302,AU154&lt;Deflactor!$BQ$303), Deflactor!$BP$302, IF(AND(AU154&gt;=Deflactor!$BQ$303,AU154&lt;Deflactor!$BQ$304), Deflactor!$BP$303, IF(AND(AU154&gt;=Deflactor!$BQ$304,AU154&lt;Deflactor!$BQ$305), Deflactor!$BP$304, IF(AND(AU154&gt;=Deflactor!$BQ$305,AU154&lt;Deflactor!$BQ$306), Deflactor!$BP$305, IF(AND(AU154&gt;=Deflactor!$BQ$306,AU154&lt;Deflactor!$BQ$307), Deflactor!$BP$306, Deflactor!$BP$307) ) ) ) ) ) ) ) ) )</f>
        <v>9</v>
      </c>
    </row>
    <row r="155" spans="1:48" x14ac:dyDescent="0.25">
      <c r="A155" s="3">
        <v>2013</v>
      </c>
      <c r="B155" s="3" t="s">
        <v>220</v>
      </c>
      <c r="C155" s="3" t="s">
        <v>7</v>
      </c>
      <c r="D155" s="3" t="s">
        <v>36</v>
      </c>
      <c r="E155" s="3" t="s">
        <v>94</v>
      </c>
      <c r="F155" s="3" t="s">
        <v>89</v>
      </c>
      <c r="G155" s="13" t="s">
        <v>623</v>
      </c>
      <c r="H155" s="12">
        <v>2009</v>
      </c>
      <c r="I155" s="13" t="s">
        <v>623</v>
      </c>
      <c r="J155" s="10">
        <f xml:space="preserve"> 4000 * 1000000</f>
        <v>4000000000</v>
      </c>
      <c r="K155" s="3" t="s">
        <v>2298</v>
      </c>
      <c r="L155" s="3" t="s">
        <v>2235</v>
      </c>
      <c r="M155" s="3" t="s">
        <v>2236</v>
      </c>
      <c r="N155" s="3" t="s">
        <v>2237</v>
      </c>
      <c r="O155" s="3" t="s">
        <v>2238</v>
      </c>
      <c r="P155" s="3" t="s">
        <v>2239</v>
      </c>
      <c r="Q155" s="3"/>
      <c r="R155" s="11" t="s">
        <v>2233</v>
      </c>
      <c r="S155" s="11" t="s">
        <v>2234</v>
      </c>
      <c r="T155" s="3"/>
      <c r="U155" s="3"/>
      <c r="V155" s="3"/>
      <c r="W155" s="10">
        <f>IF( J155="s.i", "s.i", IF(ISBLANK(J155),"Actualizando información",IFERROR(J155 / VLOOKUP(A155,Deflactor!$G$3:$H$64,2,0),"Revisar error" )))</f>
        <v>4000000000</v>
      </c>
      <c r="AR155" s="10">
        <f xml:space="preserve"> 3871100 * 1000</f>
        <v>3871100000</v>
      </c>
      <c r="AT155" s="46">
        <f t="shared" si="5"/>
        <v>3871100000</v>
      </c>
      <c r="AU155" s="54">
        <f xml:space="preserve"> IFERROR(ROUND(AT155 / VLOOKUP(A155,Tabla1[#All],2,0),0),"s.i")</f>
        <v>7820480</v>
      </c>
      <c r="AV155" s="33">
        <f xml:space="preserve"> IF(AU155="s.i", "s.i", IF(AND(AU155&gt;=Deflactor!$BQ$298,AU155&lt;Deflactor!$BQ$299), Deflactor!$BP$298, IF(AND(AU155&gt;=Deflactor!$BQ$299,AU155&lt;Deflactor!$BQ$300), Deflactor!$BP$299, IF(AND(AU155&gt;=Deflactor!$BQ$300,AU155&lt;Deflactor!$BQ$301), Deflactor!$BP$300, IF(AND(AU155&gt;=Deflactor!$BQ$301,AU155&lt;Deflactor!$BQ$302), Deflactor!$BP$301, IF(AND(AU155&gt;=Deflactor!$BQ$302,AU155&lt;Deflactor!$BQ$303), Deflactor!$BP$302, IF(AND(AU155&gt;=Deflactor!$BQ$303,AU155&lt;Deflactor!$BQ$304), Deflactor!$BP$303, IF(AND(AU155&gt;=Deflactor!$BQ$304,AU155&lt;Deflactor!$BQ$305), Deflactor!$BP$304, IF(AND(AU155&gt;=Deflactor!$BQ$305,AU155&lt;Deflactor!$BQ$306), Deflactor!$BP$305, IF(AND(AU155&gt;=Deflactor!$BQ$306,AU155&lt;Deflactor!$BQ$307), Deflactor!$BP$306, Deflactor!$BP$307) ) ) ) ) ) ) ) ) )</f>
        <v>4</v>
      </c>
    </row>
    <row r="156" spans="1:48" x14ac:dyDescent="0.25">
      <c r="A156" s="3">
        <v>2013</v>
      </c>
      <c r="B156" s="3" t="s">
        <v>221</v>
      </c>
      <c r="C156" s="3" t="s">
        <v>7</v>
      </c>
      <c r="D156" s="3" t="s">
        <v>36</v>
      </c>
      <c r="E156" s="3" t="s">
        <v>94</v>
      </c>
      <c r="F156" s="3" t="s">
        <v>95</v>
      </c>
      <c r="G156" s="3" t="s">
        <v>723</v>
      </c>
      <c r="H156" s="12">
        <v>1982</v>
      </c>
      <c r="I156" s="13"/>
      <c r="J156" s="10">
        <f xml:space="preserve"> 87442786 * 1000</f>
        <v>87442786000</v>
      </c>
      <c r="K156" s="3"/>
      <c r="L156" s="3" t="s">
        <v>2243</v>
      </c>
      <c r="M156" s="3" t="s">
        <v>2244</v>
      </c>
      <c r="N156" s="3" t="s">
        <v>2245</v>
      </c>
      <c r="O156" s="3" t="s">
        <v>2246</v>
      </c>
      <c r="P156" s="3" t="s">
        <v>2247</v>
      </c>
      <c r="Q156" s="3"/>
      <c r="R156" s="11" t="s">
        <v>2240</v>
      </c>
      <c r="S156" s="11" t="s">
        <v>2241</v>
      </c>
      <c r="T156" s="11" t="s">
        <v>2242</v>
      </c>
      <c r="U156" s="3" t="s">
        <v>1149</v>
      </c>
      <c r="V156" s="3"/>
      <c r="W156" s="10">
        <f>IF( J156="s.i", "s.i", IF(ISBLANK(J156),"Actualizando información",IFERROR(J156 / VLOOKUP(A156,Deflactor!$G$3:$H$64,2,0),"Revisar error" )))</f>
        <v>87442786000</v>
      </c>
      <c r="AR156" s="10">
        <f xml:space="preserve"> 87422786 * 1000</f>
        <v>87422786000</v>
      </c>
      <c r="AT156" s="46">
        <f t="shared" si="5"/>
        <v>87422786000</v>
      </c>
      <c r="AU156" s="54">
        <f xml:space="preserve"> IFERROR(ROUND(AT156 / VLOOKUP(A156,Tabla1[#All],2,0),0),"s.i")</f>
        <v>176613415</v>
      </c>
      <c r="AV156" s="33">
        <f xml:space="preserve"> IF(AU156="s.i", "s.i", IF(AND(AU156&gt;=Deflactor!$BQ$298,AU156&lt;Deflactor!$BQ$299), Deflactor!$BP$298, IF(AND(AU156&gt;=Deflactor!$BQ$299,AU156&lt;Deflactor!$BQ$300), Deflactor!$BP$299, IF(AND(AU156&gt;=Deflactor!$BQ$300,AU156&lt;Deflactor!$BQ$301), Deflactor!$BP$300, IF(AND(AU156&gt;=Deflactor!$BQ$301,AU156&lt;Deflactor!$BQ$302), Deflactor!$BP$301, IF(AND(AU156&gt;=Deflactor!$BQ$302,AU156&lt;Deflactor!$BQ$303), Deflactor!$BP$302, IF(AND(AU156&gt;=Deflactor!$BQ$303,AU156&lt;Deflactor!$BQ$304), Deflactor!$BP$303, IF(AND(AU156&gt;=Deflactor!$BQ$304,AU156&lt;Deflactor!$BQ$305), Deflactor!$BP$304, IF(AND(AU156&gt;=Deflactor!$BQ$305,AU156&lt;Deflactor!$BQ$306), Deflactor!$BP$305, IF(AND(AU156&gt;=Deflactor!$BQ$306,AU156&lt;Deflactor!$BQ$307), Deflactor!$BP$306, Deflactor!$BP$307) ) ) ) ) ) ) ) ) )</f>
        <v>10</v>
      </c>
    </row>
    <row r="157" spans="1:48" x14ac:dyDescent="0.25">
      <c r="A157" s="3">
        <v>2013</v>
      </c>
      <c r="B157" s="3" t="s">
        <v>222</v>
      </c>
      <c r="C157" s="3" t="s">
        <v>7</v>
      </c>
      <c r="D157" s="3" t="s">
        <v>36</v>
      </c>
      <c r="E157" s="3" t="s">
        <v>37</v>
      </c>
      <c r="F157" s="3" t="s">
        <v>89</v>
      </c>
      <c r="G157" s="3" t="s">
        <v>723</v>
      </c>
      <c r="H157" s="12">
        <v>2010</v>
      </c>
      <c r="I157" s="13"/>
      <c r="J157" s="10">
        <f xml:space="preserve"> 1964 * 1000000</f>
        <v>1964000000</v>
      </c>
      <c r="K157" s="3" t="s">
        <v>2508</v>
      </c>
      <c r="L157" s="3" t="s">
        <v>2250</v>
      </c>
      <c r="M157" s="3" t="s">
        <v>2251</v>
      </c>
      <c r="N157" s="3" t="s">
        <v>2252</v>
      </c>
      <c r="O157" s="3" t="s">
        <v>2254</v>
      </c>
      <c r="P157" s="3" t="s">
        <v>2255</v>
      </c>
      <c r="Q157" s="3"/>
      <c r="R157" s="11" t="s">
        <v>2248</v>
      </c>
      <c r="S157" s="11" t="s">
        <v>2249</v>
      </c>
      <c r="T157" s="3"/>
      <c r="U157" s="3"/>
      <c r="V157" s="3" t="s">
        <v>2253</v>
      </c>
      <c r="W157" s="10">
        <f>IF( J157="s.i", "s.i", IF(ISBLANK(J157),"Actualizando información",IFERROR(J157 / VLOOKUP(A157,Deflactor!$G$3:$H$64,2,0),"Revisar error" )))</f>
        <v>1964000000</v>
      </c>
      <c r="AR157" s="10">
        <f xml:space="preserve"> 1677618 * 1000</f>
        <v>1677618000</v>
      </c>
      <c r="AT157" s="46">
        <f t="shared" si="5"/>
        <v>1677618000</v>
      </c>
      <c r="AU157" s="54">
        <f xml:space="preserve"> IFERROR(ROUND(AT157 / VLOOKUP(A157,Tabla1[#All],2,0),0),"s.i")</f>
        <v>3389160</v>
      </c>
      <c r="AV157" s="33">
        <f xml:space="preserve"> IF(AU157="s.i", "s.i", IF(AND(AU157&gt;=Deflactor!$BQ$298,AU157&lt;Deflactor!$BQ$299), Deflactor!$BP$298, IF(AND(AU157&gt;=Deflactor!$BQ$299,AU157&lt;Deflactor!$BQ$300), Deflactor!$BP$299, IF(AND(AU157&gt;=Deflactor!$BQ$300,AU157&lt;Deflactor!$BQ$301), Deflactor!$BP$300, IF(AND(AU157&gt;=Deflactor!$BQ$301,AU157&lt;Deflactor!$BQ$302), Deflactor!$BP$301, IF(AND(AU157&gt;=Deflactor!$BQ$302,AU157&lt;Deflactor!$BQ$303), Deflactor!$BP$302, IF(AND(AU157&gt;=Deflactor!$BQ$303,AU157&lt;Deflactor!$BQ$304), Deflactor!$BP$303, IF(AND(AU157&gt;=Deflactor!$BQ$304,AU157&lt;Deflactor!$BQ$305), Deflactor!$BP$304, IF(AND(AU157&gt;=Deflactor!$BQ$305,AU157&lt;Deflactor!$BQ$306), Deflactor!$BP$305, IF(AND(AU157&gt;=Deflactor!$BQ$306,AU157&lt;Deflactor!$BQ$307), Deflactor!$BP$306, Deflactor!$BP$307) ) ) ) ) ) ) ) ) )</f>
        <v>2</v>
      </c>
    </row>
    <row r="158" spans="1:48" x14ac:dyDescent="0.25">
      <c r="A158" s="3">
        <v>2013</v>
      </c>
      <c r="B158" s="3" t="s">
        <v>223</v>
      </c>
      <c r="C158" s="3" t="s">
        <v>155</v>
      </c>
      <c r="D158" s="3" t="s">
        <v>54</v>
      </c>
      <c r="E158" s="3" t="s">
        <v>55</v>
      </c>
      <c r="F158" s="3" t="s">
        <v>157</v>
      </c>
      <c r="G158" s="3" t="s">
        <v>723</v>
      </c>
      <c r="H158" s="12">
        <v>1990</v>
      </c>
      <c r="I158" s="13"/>
      <c r="J158" s="13" t="s">
        <v>623</v>
      </c>
      <c r="K158" s="3"/>
      <c r="L158" s="3" t="s">
        <v>2361</v>
      </c>
      <c r="M158" s="3" t="s">
        <v>2258</v>
      </c>
      <c r="N158" s="3" t="s">
        <v>2259</v>
      </c>
      <c r="O158" s="3" t="s">
        <v>2260</v>
      </c>
      <c r="P158" s="3" t="s">
        <v>2261</v>
      </c>
      <c r="Q158" s="3"/>
      <c r="R158" s="11" t="s">
        <v>2256</v>
      </c>
      <c r="S158" s="11" t="s">
        <v>2257</v>
      </c>
      <c r="T158" s="3"/>
      <c r="U158" s="3"/>
      <c r="V158" s="3"/>
      <c r="W158" s="10" t="str">
        <f>IF( J158="s.i", "s.i", IF(ISBLANK(J158),"Actualizando información",IFERROR(J158 / VLOOKUP(A158,Deflactor!$G$3:$H$64,2,0),"Revisar error" )))</f>
        <v>s.i</v>
      </c>
      <c r="AR158" s="34" t="s">
        <v>2357</v>
      </c>
      <c r="AT158" s="46" t="str">
        <f>'Notas reunion'!T51</f>
        <v>s.i</v>
      </c>
      <c r="AU158" s="54" t="str">
        <f xml:space="preserve"> IFERROR(ROUND(AT158 / VLOOKUP(A158,Tabla1[#All],2,0),0),"s.i")</f>
        <v>s.i</v>
      </c>
      <c r="AV158" s="33" t="str">
        <f xml:space="preserve"> IF(AU158="s.i", "s.i", IF(AND(AU158&gt;=Deflactor!$BQ$298,AU158&lt;Deflactor!$BQ$299), Deflactor!$BP$298, IF(AND(AU158&gt;=Deflactor!$BQ$299,AU158&lt;Deflactor!$BQ$300), Deflactor!$BP$299, IF(AND(AU158&gt;=Deflactor!$BQ$300,AU158&lt;Deflactor!$BQ$301), Deflactor!$BP$300, IF(AND(AU158&gt;=Deflactor!$BQ$301,AU158&lt;Deflactor!$BQ$302), Deflactor!$BP$301, IF(AND(AU158&gt;=Deflactor!$BQ$302,AU158&lt;Deflactor!$BQ$303), Deflactor!$BP$302, IF(AND(AU158&gt;=Deflactor!$BQ$303,AU158&lt;Deflactor!$BQ$304), Deflactor!$BP$303, IF(AND(AU158&gt;=Deflactor!$BQ$304,AU158&lt;Deflactor!$BQ$305), Deflactor!$BP$304, IF(AND(AU158&gt;=Deflactor!$BQ$305,AU158&lt;Deflactor!$BQ$306), Deflactor!$BP$305, IF(AND(AU158&gt;=Deflactor!$BQ$306,AU158&lt;Deflactor!$BQ$307), Deflactor!$BP$306, Deflactor!$BP$307) ) ) ) ) ) ) ) ) )</f>
        <v>s.i</v>
      </c>
    </row>
    <row r="159" spans="1:48" x14ac:dyDescent="0.25">
      <c r="A159" s="3">
        <v>2013</v>
      </c>
      <c r="B159" s="3" t="s">
        <v>224</v>
      </c>
      <c r="C159" s="3" t="s">
        <v>7</v>
      </c>
      <c r="D159" s="3" t="s">
        <v>12</v>
      </c>
      <c r="E159" s="3" t="s">
        <v>12</v>
      </c>
      <c r="F159" s="3" t="s">
        <v>194</v>
      </c>
      <c r="G159" s="3" t="s">
        <v>723</v>
      </c>
      <c r="H159" s="12">
        <v>2009</v>
      </c>
      <c r="I159" s="13"/>
      <c r="J159" s="10">
        <f xml:space="preserve"> 273418358 * 1000</f>
        <v>273418358000</v>
      </c>
      <c r="K159" s="30" t="s">
        <v>2535</v>
      </c>
      <c r="L159" s="3" t="s">
        <v>2265</v>
      </c>
      <c r="M159" s="3" t="s">
        <v>2266</v>
      </c>
      <c r="N159" s="3" t="s">
        <v>2267</v>
      </c>
      <c r="O159" s="3" t="s">
        <v>2268</v>
      </c>
      <c r="P159" s="3" t="s">
        <v>2269</v>
      </c>
      <c r="Q159" s="3"/>
      <c r="R159" s="11" t="s">
        <v>2262</v>
      </c>
      <c r="S159" s="11" t="s">
        <v>2263</v>
      </c>
      <c r="T159" s="11" t="s">
        <v>2264</v>
      </c>
      <c r="U159" s="3"/>
      <c r="V159" s="3"/>
      <c r="W159" s="10">
        <f>IF( J159="s.i", "s.i", IF(ISBLANK(J159),"Actualizando información",IFERROR(J159 / VLOOKUP(A159,Deflactor!$G$3:$H$64,2,0),"Revisar error" )))</f>
        <v>273418358000</v>
      </c>
      <c r="AR159" s="34">
        <f xml:space="preserve"> 37023420 * 1000</f>
        <v>37023420000</v>
      </c>
      <c r="AT159" s="46">
        <f t="shared" si="5"/>
        <v>37023420000</v>
      </c>
      <c r="AU159" s="54">
        <f xml:space="preserve"> IFERROR(ROUND(AT159 / VLOOKUP(A159,Tabla1[#All],2,0),0),"s.i")</f>
        <v>74795519</v>
      </c>
      <c r="AV159" s="33">
        <f xml:space="preserve"> IF(AU159="s.i", "s.i", IF(AND(AU159&gt;=Deflactor!$BQ$298,AU159&lt;Deflactor!$BQ$299), Deflactor!$BP$298, IF(AND(AU159&gt;=Deflactor!$BQ$299,AU159&lt;Deflactor!$BQ$300), Deflactor!$BP$299, IF(AND(AU159&gt;=Deflactor!$BQ$300,AU159&lt;Deflactor!$BQ$301), Deflactor!$BP$300, IF(AND(AU159&gt;=Deflactor!$BQ$301,AU159&lt;Deflactor!$BQ$302), Deflactor!$BP$301, IF(AND(AU159&gt;=Deflactor!$BQ$302,AU159&lt;Deflactor!$BQ$303), Deflactor!$BP$302, IF(AND(AU159&gt;=Deflactor!$BQ$303,AU159&lt;Deflactor!$BQ$304), Deflactor!$BP$303, IF(AND(AU159&gt;=Deflactor!$BQ$304,AU159&lt;Deflactor!$BQ$305), Deflactor!$BP$304, IF(AND(AU159&gt;=Deflactor!$BQ$305,AU159&lt;Deflactor!$BQ$306), Deflactor!$BP$305, IF(AND(AU159&gt;=Deflactor!$BQ$306,AU159&lt;Deflactor!$BQ$307), Deflactor!$BP$306, Deflactor!$BP$307) ) ) ) ) ) ) ) ) )</f>
        <v>9</v>
      </c>
    </row>
    <row r="160" spans="1:48" x14ac:dyDescent="0.25">
      <c r="A160" s="3">
        <v>2013</v>
      </c>
      <c r="B160" s="3" t="s">
        <v>225</v>
      </c>
      <c r="C160" s="3" t="s">
        <v>7</v>
      </c>
      <c r="D160" s="3" t="s">
        <v>12</v>
      </c>
      <c r="E160" s="3" t="s">
        <v>61</v>
      </c>
      <c r="F160" s="3" t="s">
        <v>194</v>
      </c>
      <c r="G160" s="3" t="s">
        <v>723</v>
      </c>
      <c r="H160" s="12">
        <v>1953</v>
      </c>
      <c r="I160" s="13"/>
      <c r="J160" s="10">
        <f xml:space="preserve"> 3192335 * 1000</f>
        <v>3192335000</v>
      </c>
      <c r="K160" s="3"/>
      <c r="L160" s="3" t="s">
        <v>2273</v>
      </c>
      <c r="M160" s="3" t="s">
        <v>2274</v>
      </c>
      <c r="N160" s="3" t="s">
        <v>2275</v>
      </c>
      <c r="O160" s="3" t="s">
        <v>2276</v>
      </c>
      <c r="P160" s="3" t="s">
        <v>2277</v>
      </c>
      <c r="Q160" s="3"/>
      <c r="R160" s="11" t="s">
        <v>2270</v>
      </c>
      <c r="S160" s="11" t="s">
        <v>2271</v>
      </c>
      <c r="T160" s="11" t="s">
        <v>2272</v>
      </c>
      <c r="U160" s="3"/>
      <c r="V160" s="3"/>
      <c r="W160" s="10">
        <f>IF( J160="s.i", "s.i", IF(ISBLANK(J160),"Actualizando información",IFERROR(J160 / VLOOKUP(A160,Deflactor!$G$3:$H$64,2,0),"Revisar error" )))</f>
        <v>3192335000</v>
      </c>
      <c r="AR160" s="10">
        <f xml:space="preserve"> 2267990 * 1000</f>
        <v>2267990000</v>
      </c>
      <c r="AT160" s="46">
        <f t="shared" si="5"/>
        <v>2267990000</v>
      </c>
      <c r="AU160" s="54">
        <f xml:space="preserve"> IFERROR(ROUND(AT160 / VLOOKUP(A160,Tabla1[#All],2,0),0),"s.i")</f>
        <v>4581843</v>
      </c>
      <c r="AV160" s="33">
        <f xml:space="preserve"> IF(AU160="s.i", "s.i", IF(AND(AU160&gt;=Deflactor!$BQ$298,AU160&lt;Deflactor!$BQ$299), Deflactor!$BP$298, IF(AND(AU160&gt;=Deflactor!$BQ$299,AU160&lt;Deflactor!$BQ$300), Deflactor!$BP$299, IF(AND(AU160&gt;=Deflactor!$BQ$300,AU160&lt;Deflactor!$BQ$301), Deflactor!$BP$300, IF(AND(AU160&gt;=Deflactor!$BQ$301,AU160&lt;Deflactor!$BQ$302), Deflactor!$BP$301, IF(AND(AU160&gt;=Deflactor!$BQ$302,AU160&lt;Deflactor!$BQ$303), Deflactor!$BP$302, IF(AND(AU160&gt;=Deflactor!$BQ$303,AU160&lt;Deflactor!$BQ$304), Deflactor!$BP$303, IF(AND(AU160&gt;=Deflactor!$BQ$304,AU160&lt;Deflactor!$BQ$305), Deflactor!$BP$304, IF(AND(AU160&gt;=Deflactor!$BQ$305,AU160&lt;Deflactor!$BQ$306), Deflactor!$BP$305, IF(AND(AU160&gt;=Deflactor!$BQ$306,AU160&lt;Deflactor!$BQ$307), Deflactor!$BP$306, Deflactor!$BP$307) ) ) ) ) ) ) ) ) )</f>
        <v>2</v>
      </c>
    </row>
    <row r="161" spans="1:48" x14ac:dyDescent="0.25">
      <c r="A161" s="3">
        <v>2013</v>
      </c>
      <c r="B161" s="3" t="s">
        <v>226</v>
      </c>
      <c r="C161" s="3" t="s">
        <v>155</v>
      </c>
      <c r="D161" s="3" t="s">
        <v>54</v>
      </c>
      <c r="E161" s="3" t="s">
        <v>55</v>
      </c>
      <c r="F161" s="3" t="s">
        <v>157</v>
      </c>
      <c r="G161" s="3" t="s">
        <v>723</v>
      </c>
      <c r="H161" s="12">
        <v>2009</v>
      </c>
      <c r="I161" s="13"/>
      <c r="J161" s="13" t="s">
        <v>623</v>
      </c>
      <c r="K161" s="3" t="s">
        <v>2511</v>
      </c>
      <c r="L161" s="3" t="s">
        <v>2361</v>
      </c>
      <c r="M161" s="3" t="s">
        <v>2258</v>
      </c>
      <c r="N161" s="3" t="s">
        <v>2259</v>
      </c>
      <c r="O161" s="3" t="s">
        <v>2260</v>
      </c>
      <c r="P161" s="3" t="s">
        <v>2261</v>
      </c>
      <c r="Q161" s="3"/>
      <c r="R161" s="11" t="s">
        <v>2490</v>
      </c>
      <c r="S161" s="11" t="s">
        <v>2491</v>
      </c>
      <c r="T161" s="3"/>
      <c r="U161" s="3"/>
      <c r="V161" s="3"/>
      <c r="W161" s="10" t="str">
        <f>IF( J161="s.i", "s.i", IF(ISBLANK(J161),"Actualizando información",IFERROR(J161 / VLOOKUP(A161,Deflactor!$G$3:$H$64,2,0),"Revisar error" )))</f>
        <v>s.i</v>
      </c>
      <c r="AR161" s="34" t="s">
        <v>2357</v>
      </c>
      <c r="AT161" s="46" t="str">
        <f>'Notas reunion'!T52</f>
        <v>s.i</v>
      </c>
      <c r="AU161" s="54" t="str">
        <f xml:space="preserve"> IFERROR(ROUND(AT161 / VLOOKUP(A161,Tabla1[#All],2,0),0),"s.i")</f>
        <v>s.i</v>
      </c>
      <c r="AV161" s="33" t="str">
        <f xml:space="preserve"> IF(AU161="s.i", "s.i", IF(AND(AU161&gt;=Deflactor!$BQ$298,AU161&lt;Deflactor!$BQ$299), Deflactor!$BP$298, IF(AND(AU161&gt;=Deflactor!$BQ$299,AU161&lt;Deflactor!$BQ$300), Deflactor!$BP$299, IF(AND(AU161&gt;=Deflactor!$BQ$300,AU161&lt;Deflactor!$BQ$301), Deflactor!$BP$300, IF(AND(AU161&gt;=Deflactor!$BQ$301,AU161&lt;Deflactor!$BQ$302), Deflactor!$BP$301, IF(AND(AU161&gt;=Deflactor!$BQ$302,AU161&lt;Deflactor!$BQ$303), Deflactor!$BP$302, IF(AND(AU161&gt;=Deflactor!$BQ$303,AU161&lt;Deflactor!$BQ$304), Deflactor!$BP$303, IF(AND(AU161&gt;=Deflactor!$BQ$304,AU161&lt;Deflactor!$BQ$305), Deflactor!$BP$304, IF(AND(AU161&gt;=Deflactor!$BQ$305,AU161&lt;Deflactor!$BQ$306), Deflactor!$BP$305, IF(AND(AU161&gt;=Deflactor!$BQ$306,AU161&lt;Deflactor!$BQ$307), Deflactor!$BP$306, Deflactor!$BP$307) ) ) ) ) ) ) ) ) )</f>
        <v>s.i</v>
      </c>
    </row>
    <row r="162" spans="1:48" x14ac:dyDescent="0.25">
      <c r="A162" s="3">
        <v>2013</v>
      </c>
      <c r="B162" s="3" t="s">
        <v>227</v>
      </c>
      <c r="C162" s="3" t="s">
        <v>155</v>
      </c>
      <c r="D162" s="3" t="s">
        <v>54</v>
      </c>
      <c r="E162" s="3" t="s">
        <v>55</v>
      </c>
      <c r="F162" s="3" t="s">
        <v>157</v>
      </c>
      <c r="G162" s="3" t="s">
        <v>723</v>
      </c>
      <c r="H162" s="13" t="s">
        <v>623</v>
      </c>
      <c r="I162" s="13"/>
      <c r="J162" s="13" t="s">
        <v>623</v>
      </c>
      <c r="K162" s="3" t="s">
        <v>2511</v>
      </c>
      <c r="L162" s="3" t="s">
        <v>2361</v>
      </c>
      <c r="M162" s="3" t="s">
        <v>2258</v>
      </c>
      <c r="N162" s="3" t="s">
        <v>2259</v>
      </c>
      <c r="O162" s="3" t="s">
        <v>2260</v>
      </c>
      <c r="P162" s="3" t="s">
        <v>2261</v>
      </c>
      <c r="Q162" s="3"/>
      <c r="R162" s="11" t="s">
        <v>2492</v>
      </c>
      <c r="S162" s="11" t="s">
        <v>2493</v>
      </c>
      <c r="T162" s="3"/>
      <c r="U162" s="3"/>
      <c r="V162" s="3"/>
      <c r="W162" s="10" t="str">
        <f>IF( J162="s.i", "s.i", IF(ISBLANK(J162),"Actualizando información",IFERROR(J162 / VLOOKUP(A162,Deflactor!$G$3:$H$64,2,0),"Revisar error" )))</f>
        <v>s.i</v>
      </c>
      <c r="AR162" s="34" t="s">
        <v>2357</v>
      </c>
      <c r="AT162" s="46" t="str">
        <f>'Notas reunion'!T53</f>
        <v>s.i</v>
      </c>
      <c r="AU162" s="54" t="str">
        <f xml:space="preserve"> IFERROR(ROUND(AT162 / VLOOKUP(A162,Tabla1[#All],2,0),0),"s.i")</f>
        <v>s.i</v>
      </c>
      <c r="AV162" s="33" t="str">
        <f xml:space="preserve"> IF(AU162="s.i", "s.i", IF(AND(AU162&gt;=Deflactor!$BQ$298,AU162&lt;Deflactor!$BQ$299), Deflactor!$BP$298, IF(AND(AU162&gt;=Deflactor!$BQ$299,AU162&lt;Deflactor!$BQ$300), Deflactor!$BP$299, IF(AND(AU162&gt;=Deflactor!$BQ$300,AU162&lt;Deflactor!$BQ$301), Deflactor!$BP$300, IF(AND(AU162&gt;=Deflactor!$BQ$301,AU162&lt;Deflactor!$BQ$302), Deflactor!$BP$301, IF(AND(AU162&gt;=Deflactor!$BQ$302,AU162&lt;Deflactor!$BQ$303), Deflactor!$BP$302, IF(AND(AU162&gt;=Deflactor!$BQ$303,AU162&lt;Deflactor!$BQ$304), Deflactor!$BP$303, IF(AND(AU162&gt;=Deflactor!$BQ$304,AU162&lt;Deflactor!$BQ$305), Deflactor!$BP$304, IF(AND(AU162&gt;=Deflactor!$BQ$305,AU162&lt;Deflactor!$BQ$306), Deflactor!$BP$305, IF(AND(AU162&gt;=Deflactor!$BQ$306,AU162&lt;Deflactor!$BQ$307), Deflactor!$BP$306, Deflactor!$BP$307) ) ) ) ) ) ) ) ) )</f>
        <v>s.i</v>
      </c>
    </row>
    <row r="163" spans="1:48" x14ac:dyDescent="0.25">
      <c r="A163" s="3">
        <v>2013</v>
      </c>
      <c r="B163" s="3" t="s">
        <v>228</v>
      </c>
      <c r="C163" s="3" t="s">
        <v>155</v>
      </c>
      <c r="D163" s="3" t="s">
        <v>54</v>
      </c>
      <c r="E163" s="3" t="s">
        <v>55</v>
      </c>
      <c r="F163" s="3" t="s">
        <v>157</v>
      </c>
      <c r="G163" s="3" t="s">
        <v>723</v>
      </c>
      <c r="H163" s="12">
        <v>2010</v>
      </c>
      <c r="I163" s="13"/>
      <c r="J163" s="13" t="s">
        <v>623</v>
      </c>
      <c r="K163" s="3" t="s">
        <v>2511</v>
      </c>
      <c r="L163" s="3" t="s">
        <v>2361</v>
      </c>
      <c r="M163" s="3" t="s">
        <v>2258</v>
      </c>
      <c r="N163" s="3" t="s">
        <v>2259</v>
      </c>
      <c r="O163" s="3" t="s">
        <v>2260</v>
      </c>
      <c r="P163" s="3" t="s">
        <v>2261</v>
      </c>
      <c r="Q163" s="3"/>
      <c r="R163" s="11" t="s">
        <v>2494</v>
      </c>
      <c r="S163" s="29" t="s">
        <v>2495</v>
      </c>
      <c r="T163" s="3"/>
      <c r="U163" s="3"/>
      <c r="V163" s="3"/>
      <c r="W163" s="10" t="str">
        <f>IF( J163="s.i", "s.i", IF(ISBLANK(J163),"Actualizando información",IFERROR(J163 / VLOOKUP(A163,Deflactor!$G$3:$H$64,2,0),"Revisar error" )))</f>
        <v>s.i</v>
      </c>
      <c r="AR163" s="34" t="s">
        <v>2357</v>
      </c>
      <c r="AT163" s="46" t="str">
        <f>'Notas reunion'!T54</f>
        <v>s.i</v>
      </c>
      <c r="AU163" s="54" t="str">
        <f xml:space="preserve"> IFERROR(ROUND(AT163 / VLOOKUP(A163,Tabla1[#All],2,0),0),"s.i")</f>
        <v>s.i</v>
      </c>
      <c r="AV163" s="33" t="str">
        <f xml:space="preserve"> IF(AU163="s.i", "s.i", IF(AND(AU163&gt;=Deflactor!$BQ$298,AU163&lt;Deflactor!$BQ$299), Deflactor!$BP$298, IF(AND(AU163&gt;=Deflactor!$BQ$299,AU163&lt;Deflactor!$BQ$300), Deflactor!$BP$299, IF(AND(AU163&gt;=Deflactor!$BQ$300,AU163&lt;Deflactor!$BQ$301), Deflactor!$BP$300, IF(AND(AU163&gt;=Deflactor!$BQ$301,AU163&lt;Deflactor!$BQ$302), Deflactor!$BP$301, IF(AND(AU163&gt;=Deflactor!$BQ$302,AU163&lt;Deflactor!$BQ$303), Deflactor!$BP$302, IF(AND(AU163&gt;=Deflactor!$BQ$303,AU163&lt;Deflactor!$BQ$304), Deflactor!$BP$303, IF(AND(AU163&gt;=Deflactor!$BQ$304,AU163&lt;Deflactor!$BQ$305), Deflactor!$BP$304, IF(AND(AU163&gt;=Deflactor!$BQ$305,AU163&lt;Deflactor!$BQ$306), Deflactor!$BP$305, IF(AND(AU163&gt;=Deflactor!$BQ$306,AU163&lt;Deflactor!$BQ$307), Deflactor!$BP$306, Deflactor!$BP$307) ) ) ) ) ) ) ) ) )</f>
        <v>s.i</v>
      </c>
    </row>
    <row r="164" spans="1:48" x14ac:dyDescent="0.25">
      <c r="A164" s="3">
        <v>2013</v>
      </c>
      <c r="B164" s="3" t="s">
        <v>229</v>
      </c>
      <c r="C164" s="3" t="s">
        <v>7</v>
      </c>
      <c r="D164" s="3" t="s">
        <v>74</v>
      </c>
      <c r="E164" s="3" t="s">
        <v>75</v>
      </c>
      <c r="F164" s="3" t="s">
        <v>194</v>
      </c>
      <c r="G164" s="3" t="s">
        <v>723</v>
      </c>
      <c r="H164" s="12">
        <v>2010</v>
      </c>
      <c r="I164" s="13"/>
      <c r="J164" s="10">
        <f xml:space="preserve"> 4746 * 1000000</f>
        <v>4746000000</v>
      </c>
      <c r="K164" s="3" t="s">
        <v>994</v>
      </c>
      <c r="L164" s="3" t="s">
        <v>2499</v>
      </c>
      <c r="M164" s="3" t="s">
        <v>2500</v>
      </c>
      <c r="N164" s="3" t="s">
        <v>2501</v>
      </c>
      <c r="O164" s="3" t="s">
        <v>2502</v>
      </c>
      <c r="P164" s="3" t="s">
        <v>2503</v>
      </c>
      <c r="Q164" s="3"/>
      <c r="R164" s="11" t="s">
        <v>2496</v>
      </c>
      <c r="S164" s="11" t="s">
        <v>2497</v>
      </c>
      <c r="T164" s="11" t="s">
        <v>2498</v>
      </c>
      <c r="U164" s="3"/>
      <c r="V164" s="3"/>
      <c r="W164" s="10">
        <f>IF( J164="s.i", "s.i", IF(ISBLANK(J164),"Actualizando información",IFERROR(J164 / VLOOKUP(A164,Deflactor!$G$3:$H$64,2,0),"Revisar error" )))</f>
        <v>4746000000</v>
      </c>
      <c r="AR164" s="10">
        <f xml:space="preserve"> 4121145 * 1000</f>
        <v>4121145000</v>
      </c>
      <c r="AT164" s="46">
        <f t="shared" si="5"/>
        <v>4121145000</v>
      </c>
      <c r="AU164" s="54">
        <f xml:space="preserve"> IFERROR(ROUND(AT164 / VLOOKUP(A164,Tabla1[#All],2,0),0),"s.i")</f>
        <v>8325627</v>
      </c>
      <c r="AV164" s="33">
        <f xml:space="preserve"> IF(AU164="s.i", "s.i", IF(AND(AU164&gt;=Deflactor!$BQ$298,AU164&lt;Deflactor!$BQ$299), Deflactor!$BP$298, IF(AND(AU164&gt;=Deflactor!$BQ$299,AU164&lt;Deflactor!$BQ$300), Deflactor!$BP$299, IF(AND(AU164&gt;=Deflactor!$BQ$300,AU164&lt;Deflactor!$BQ$301), Deflactor!$BP$300, IF(AND(AU164&gt;=Deflactor!$BQ$301,AU164&lt;Deflactor!$BQ$302), Deflactor!$BP$301, IF(AND(AU164&gt;=Deflactor!$BQ$302,AU164&lt;Deflactor!$BQ$303), Deflactor!$BP$302, IF(AND(AU164&gt;=Deflactor!$BQ$303,AU164&lt;Deflactor!$BQ$304), Deflactor!$BP$303, IF(AND(AU164&gt;=Deflactor!$BQ$304,AU164&lt;Deflactor!$BQ$305), Deflactor!$BP$304, IF(AND(AU164&gt;=Deflactor!$BQ$305,AU164&lt;Deflactor!$BQ$306), Deflactor!$BP$305, IF(AND(AU164&gt;=Deflactor!$BQ$306,AU164&lt;Deflactor!$BQ$307), Deflactor!$BP$306, Deflactor!$BP$307) ) ) ) ) ) ) ) ) )</f>
        <v>4</v>
      </c>
    </row>
    <row r="165" spans="1:48" x14ac:dyDescent="0.25">
      <c r="A165" s="3">
        <v>2013</v>
      </c>
      <c r="B165" s="3" t="s">
        <v>2358</v>
      </c>
      <c r="C165" s="3" t="s">
        <v>7</v>
      </c>
      <c r="D165" s="3" t="s">
        <v>20</v>
      </c>
      <c r="E165" s="3" t="s">
        <v>21</v>
      </c>
      <c r="F165" s="3" t="s">
        <v>89</v>
      </c>
      <c r="G165" s="3" t="s">
        <v>723</v>
      </c>
      <c r="H165" s="13" t="s">
        <v>623</v>
      </c>
      <c r="I165" s="13" t="s">
        <v>623</v>
      </c>
      <c r="J165" s="10">
        <f xml:space="preserve"> 405 * 1000000</f>
        <v>405000000</v>
      </c>
      <c r="K165" s="3" t="s">
        <v>2508</v>
      </c>
      <c r="L165" s="3" t="s">
        <v>2506</v>
      </c>
      <c r="M165" s="3" t="s">
        <v>2507</v>
      </c>
      <c r="N165" s="3" t="s">
        <v>2250</v>
      </c>
      <c r="O165" s="3" t="s">
        <v>2251</v>
      </c>
      <c r="P165" s="3"/>
      <c r="Q165" s="3"/>
      <c r="R165" s="11" t="s">
        <v>2504</v>
      </c>
      <c r="S165" s="11" t="s">
        <v>2505</v>
      </c>
      <c r="T165" s="3"/>
      <c r="U165" s="3"/>
      <c r="V165" s="3"/>
      <c r="W165" s="10">
        <f>IF( J165="s.i", "s.i", IF(ISBLANK(J165),"Actualizando información",IFERROR(J165 / VLOOKUP(A165,Deflactor!$G$3:$H$64,2,0),"Revisar error" )))</f>
        <v>405000000</v>
      </c>
      <c r="AR165" s="34" t="s">
        <v>2357</v>
      </c>
      <c r="AT165" s="46">
        <f>'Notas reunion'!T55</f>
        <v>187288000</v>
      </c>
      <c r="AU165" s="54">
        <f xml:space="preserve"> IFERROR(ROUND(AT165 / VLOOKUP(A165,Tabla1[#All],2,0),0),"s.i")</f>
        <v>378363</v>
      </c>
      <c r="AV165" s="33">
        <f xml:space="preserve"> IF(AU165="s.i", "s.i", IF(AND(AU165&gt;=Deflactor!$BQ$298,AU165&lt;Deflactor!$BQ$299), Deflactor!$BP$298, IF(AND(AU165&gt;=Deflactor!$BQ$299,AU165&lt;Deflactor!$BQ$300), Deflactor!$BP$299, IF(AND(AU165&gt;=Deflactor!$BQ$300,AU165&lt;Deflactor!$BQ$301), Deflactor!$BP$300, IF(AND(AU165&gt;=Deflactor!$BQ$301,AU165&lt;Deflactor!$BQ$302), Deflactor!$BP$301, IF(AND(AU165&gt;=Deflactor!$BQ$302,AU165&lt;Deflactor!$BQ$303), Deflactor!$BP$302, IF(AND(AU165&gt;=Deflactor!$BQ$303,AU165&lt;Deflactor!$BQ$304), Deflactor!$BP$303, IF(AND(AU165&gt;=Deflactor!$BQ$304,AU165&lt;Deflactor!$BQ$305), Deflactor!$BP$304, IF(AND(AU165&gt;=Deflactor!$BQ$305,AU165&lt;Deflactor!$BQ$306), Deflactor!$BP$305, IF(AND(AU165&gt;=Deflactor!$BQ$306,AU165&lt;Deflactor!$BQ$307), Deflactor!$BP$306, Deflactor!$BP$307) ) ) ) ) ) ) ) ) )</f>
        <v>1</v>
      </c>
    </row>
    <row r="166" spans="1:48" x14ac:dyDescent="0.25">
      <c r="A166" s="3">
        <v>2013</v>
      </c>
      <c r="B166" s="3" t="s">
        <v>230</v>
      </c>
      <c r="C166" s="3" t="s">
        <v>7</v>
      </c>
      <c r="D166" s="3" t="s">
        <v>48</v>
      </c>
      <c r="E166" s="3" t="s">
        <v>88</v>
      </c>
      <c r="F166" s="3" t="s">
        <v>89</v>
      </c>
      <c r="G166" s="13" t="s">
        <v>623</v>
      </c>
      <c r="H166" s="12">
        <v>2011</v>
      </c>
      <c r="I166" s="13" t="s">
        <v>623</v>
      </c>
      <c r="J166" s="10">
        <f xml:space="preserve"> 7987601 * 1000000</f>
        <v>7987601000000</v>
      </c>
      <c r="K166" s="3" t="s">
        <v>2512</v>
      </c>
      <c r="L166" s="3" t="s">
        <v>2515</v>
      </c>
      <c r="M166" s="3" t="s">
        <v>2516</v>
      </c>
      <c r="N166" s="3" t="s">
        <v>2517</v>
      </c>
      <c r="O166" s="3" t="s">
        <v>2518</v>
      </c>
      <c r="P166" s="3" t="s">
        <v>2519</v>
      </c>
      <c r="Q166" s="3"/>
      <c r="R166" s="11" t="s">
        <v>2509</v>
      </c>
      <c r="S166" s="11" t="s">
        <v>2510</v>
      </c>
      <c r="T166" s="3"/>
      <c r="U166" s="3"/>
      <c r="V166" s="3"/>
      <c r="W166" s="10">
        <f>IF( J166="s.i", "s.i", IF(ISBLANK(J166),"Actualizando información",IFERROR(J166 / VLOOKUP(A166,Deflactor!$G$3:$H$64,2,0),"Revisar error" )))</f>
        <v>7987601000000</v>
      </c>
      <c r="AR166" s="10">
        <f xml:space="preserve"> 9222654 * 1000</f>
        <v>9222654000</v>
      </c>
      <c r="AT166" s="46">
        <f t="shared" si="5"/>
        <v>9222654000</v>
      </c>
      <c r="AU166" s="54">
        <f xml:space="preserve"> IFERROR(ROUND(AT166 / VLOOKUP(A166,Tabla1[#All],2,0),0),"s.i")</f>
        <v>18631806</v>
      </c>
      <c r="AV166" s="33">
        <f xml:space="preserve"> IF(AU166="s.i", "s.i", IF(AND(AU166&gt;=Deflactor!$BQ$298,AU166&lt;Deflactor!$BQ$299), Deflactor!$BP$298, IF(AND(AU166&gt;=Deflactor!$BQ$299,AU166&lt;Deflactor!$BQ$300), Deflactor!$BP$299, IF(AND(AU166&gt;=Deflactor!$BQ$300,AU166&lt;Deflactor!$BQ$301), Deflactor!$BP$300, IF(AND(AU166&gt;=Deflactor!$BQ$301,AU166&lt;Deflactor!$BQ$302), Deflactor!$BP$301, IF(AND(AU166&gt;=Deflactor!$BQ$302,AU166&lt;Deflactor!$BQ$303), Deflactor!$BP$302, IF(AND(AU166&gt;=Deflactor!$BQ$303,AU166&lt;Deflactor!$BQ$304), Deflactor!$BP$303, IF(AND(AU166&gt;=Deflactor!$BQ$304,AU166&lt;Deflactor!$BQ$305), Deflactor!$BP$304, IF(AND(AU166&gt;=Deflactor!$BQ$305,AU166&lt;Deflactor!$BQ$306), Deflactor!$BP$305, IF(AND(AU166&gt;=Deflactor!$BQ$306,AU166&lt;Deflactor!$BQ$307), Deflactor!$BP$306, Deflactor!$BP$307) ) ) ) ) ) ) ) ) )</f>
        <v>6</v>
      </c>
    </row>
    <row r="167" spans="1:48" x14ac:dyDescent="0.25">
      <c r="A167" s="3">
        <v>2013</v>
      </c>
      <c r="B167" s="3" t="s">
        <v>231</v>
      </c>
      <c r="C167" s="3" t="s">
        <v>7</v>
      </c>
      <c r="D167" s="3" t="s">
        <v>20</v>
      </c>
      <c r="E167" s="3" t="s">
        <v>120</v>
      </c>
      <c r="F167" s="3" t="s">
        <v>89</v>
      </c>
      <c r="G167" s="3" t="s">
        <v>723</v>
      </c>
      <c r="H167" s="12">
        <v>2009</v>
      </c>
      <c r="I167" s="13"/>
      <c r="J167" s="10">
        <f xml:space="preserve"> 1969270 * 1000</f>
        <v>1969270000</v>
      </c>
      <c r="K167" s="3"/>
      <c r="L167" s="3" t="s">
        <v>2522</v>
      </c>
      <c r="M167" s="3" t="s">
        <v>2523</v>
      </c>
      <c r="N167" s="3" t="s">
        <v>2524</v>
      </c>
      <c r="O167" s="3" t="s">
        <v>2525</v>
      </c>
      <c r="P167" s="3" t="s">
        <v>2526</v>
      </c>
      <c r="Q167" s="3"/>
      <c r="R167" s="11" t="s">
        <v>2520</v>
      </c>
      <c r="S167" s="11" t="s">
        <v>2521</v>
      </c>
      <c r="T167" s="3"/>
      <c r="U167" s="3"/>
      <c r="V167" s="3"/>
      <c r="W167" s="10">
        <f>IF( J167="s.i", "s.i", IF(ISBLANK(J167),"Actualizando información",IFERROR(J167 / VLOOKUP(A167,Deflactor!$G$3:$H$64,2,0),"Revisar error" )))</f>
        <v>1969270000</v>
      </c>
      <c r="AR167" s="10">
        <f xml:space="preserve"> 24153953 * 1000</f>
        <v>24153953000</v>
      </c>
      <c r="AT167" s="46">
        <f t="shared" si="5"/>
        <v>24153953000</v>
      </c>
      <c r="AU167" s="54">
        <f xml:space="preserve"> IFERROR(ROUND(AT167 / VLOOKUP(A167,Tabla1[#All],2,0),0),"s.i")</f>
        <v>48796342</v>
      </c>
      <c r="AV167" s="33">
        <f xml:space="preserve"> IF(AU167="s.i", "s.i", IF(AND(AU167&gt;=Deflactor!$BQ$298,AU167&lt;Deflactor!$BQ$299), Deflactor!$BP$298, IF(AND(AU167&gt;=Deflactor!$BQ$299,AU167&lt;Deflactor!$BQ$300), Deflactor!$BP$299, IF(AND(AU167&gt;=Deflactor!$BQ$300,AU167&lt;Deflactor!$BQ$301), Deflactor!$BP$300, IF(AND(AU167&gt;=Deflactor!$BQ$301,AU167&lt;Deflactor!$BQ$302), Deflactor!$BP$301, IF(AND(AU167&gt;=Deflactor!$BQ$302,AU167&lt;Deflactor!$BQ$303), Deflactor!$BP$302, IF(AND(AU167&gt;=Deflactor!$BQ$303,AU167&lt;Deflactor!$BQ$304), Deflactor!$BP$303, IF(AND(AU167&gt;=Deflactor!$BQ$304,AU167&lt;Deflactor!$BQ$305), Deflactor!$BP$304, IF(AND(AU167&gt;=Deflactor!$BQ$305,AU167&lt;Deflactor!$BQ$306), Deflactor!$BP$305, IF(AND(AU167&gt;=Deflactor!$BQ$306,AU167&lt;Deflactor!$BQ$307), Deflactor!$BP$306, Deflactor!$BP$307) ) ) ) ) ) ) ) ) )</f>
        <v>8</v>
      </c>
    </row>
    <row r="168" spans="1:48" x14ac:dyDescent="0.25">
      <c r="A168" s="3">
        <v>2013</v>
      </c>
      <c r="B168" s="3" t="s">
        <v>232</v>
      </c>
      <c r="C168" s="3" t="s">
        <v>7</v>
      </c>
      <c r="D168" s="3" t="s">
        <v>233</v>
      </c>
      <c r="E168" s="3" t="s">
        <v>234</v>
      </c>
      <c r="F168" s="3" t="s">
        <v>194</v>
      </c>
      <c r="G168" s="3" t="s">
        <v>723</v>
      </c>
      <c r="H168" s="12">
        <v>2010</v>
      </c>
      <c r="I168" s="13"/>
      <c r="J168" s="10">
        <f xml:space="preserve"> 273418358 * 1000</f>
        <v>273418358000</v>
      </c>
      <c r="K168" s="3" t="s">
        <v>2535</v>
      </c>
      <c r="L168" s="3" t="s">
        <v>2530</v>
      </c>
      <c r="M168" s="3" t="s">
        <v>2531</v>
      </c>
      <c r="N168" s="3" t="s">
        <v>2532</v>
      </c>
      <c r="O168" s="3" t="s">
        <v>2533</v>
      </c>
      <c r="P168" s="3" t="s">
        <v>2534</v>
      </c>
      <c r="Q168" s="3"/>
      <c r="R168" s="11" t="s">
        <v>2527</v>
      </c>
      <c r="S168" s="11" t="s">
        <v>2528</v>
      </c>
      <c r="T168" s="11" t="s">
        <v>2529</v>
      </c>
      <c r="U168" s="3" t="s">
        <v>1326</v>
      </c>
      <c r="V168" s="3"/>
      <c r="W168" s="10">
        <f>IF( J168="s.i", "s.i", IF(ISBLANK(J168),"Actualizando información",IFERROR(J168 / VLOOKUP(A168,Deflactor!$G$3:$H$64,2,0),"Revisar error" )))</f>
        <v>273418358000</v>
      </c>
      <c r="AR168" s="10">
        <f xml:space="preserve"> 196771717 * 1000</f>
        <v>196771717000</v>
      </c>
      <c r="AT168" s="46">
        <f t="shared" si="5"/>
        <v>196771717000</v>
      </c>
      <c r="AU168" s="54">
        <f xml:space="preserve"> IFERROR(ROUND(AT168 / VLOOKUP(A168,Tabla1[#All],2,0),0),"s.i")</f>
        <v>397522506</v>
      </c>
      <c r="AV168" s="33">
        <f xml:space="preserve"> IF(AU168="s.i", "s.i", IF(AND(AU168&gt;=Deflactor!$BQ$298,AU168&lt;Deflactor!$BQ$299), Deflactor!$BP$298, IF(AND(AU168&gt;=Deflactor!$BQ$299,AU168&lt;Deflactor!$BQ$300), Deflactor!$BP$299, IF(AND(AU168&gt;=Deflactor!$BQ$300,AU168&lt;Deflactor!$BQ$301), Deflactor!$BP$300, IF(AND(AU168&gt;=Deflactor!$BQ$301,AU168&lt;Deflactor!$BQ$302), Deflactor!$BP$301, IF(AND(AU168&gt;=Deflactor!$BQ$302,AU168&lt;Deflactor!$BQ$303), Deflactor!$BP$302, IF(AND(AU168&gt;=Deflactor!$BQ$303,AU168&lt;Deflactor!$BQ$304), Deflactor!$BP$303, IF(AND(AU168&gt;=Deflactor!$BQ$304,AU168&lt;Deflactor!$BQ$305), Deflactor!$BP$304, IF(AND(AU168&gt;=Deflactor!$BQ$305,AU168&lt;Deflactor!$BQ$306), Deflactor!$BP$305, IF(AND(AU168&gt;=Deflactor!$BQ$306,AU168&lt;Deflactor!$BQ$307), Deflactor!$BP$306, Deflactor!$BP$307) ) ) ) ) ) ) ) ) )</f>
        <v>10</v>
      </c>
    </row>
    <row r="169" spans="1:48" x14ac:dyDescent="0.25">
      <c r="A169" s="3">
        <v>2013</v>
      </c>
      <c r="B169" s="3" t="s">
        <v>235</v>
      </c>
      <c r="C169" s="3" t="s">
        <v>7</v>
      </c>
      <c r="D169" s="3" t="s">
        <v>54</v>
      </c>
      <c r="E169" s="3" t="s">
        <v>236</v>
      </c>
      <c r="F169" s="3" t="s">
        <v>89</v>
      </c>
      <c r="G169" s="3" t="s">
        <v>723</v>
      </c>
      <c r="H169" s="12">
        <v>1954</v>
      </c>
      <c r="I169" s="13"/>
      <c r="J169" s="10">
        <f xml:space="preserve"> 52274895 * 1000</f>
        <v>52274895000</v>
      </c>
      <c r="K169" s="3" t="s">
        <v>1325</v>
      </c>
      <c r="L169" s="3" t="s">
        <v>2538</v>
      </c>
      <c r="M169" s="3" t="s">
        <v>2539</v>
      </c>
      <c r="N169" s="3" t="s">
        <v>2540</v>
      </c>
      <c r="O169" s="3" t="s">
        <v>2541</v>
      </c>
      <c r="P169" s="3" t="s">
        <v>2542</v>
      </c>
      <c r="Q169" s="3"/>
      <c r="R169" s="11" t="s">
        <v>2536</v>
      </c>
      <c r="S169" s="11" t="s">
        <v>2537</v>
      </c>
      <c r="T169" s="3"/>
      <c r="U169" s="3" t="s">
        <v>1325</v>
      </c>
      <c r="V169" s="3"/>
      <c r="W169" s="10">
        <f>IF( J169="s.i", "s.i", IF(ISBLANK(J169),"Actualizando información",IFERROR(J169 / VLOOKUP(A169,Deflactor!$G$3:$H$64,2,0),"Revisar error" )))</f>
        <v>52274895000</v>
      </c>
      <c r="AR169" s="10">
        <f xml:space="preserve"> 46947637 * 1000</f>
        <v>46947637000</v>
      </c>
      <c r="AT169" s="46">
        <f t="shared" si="5"/>
        <v>46947637000</v>
      </c>
      <c r="AU169" s="54">
        <f xml:space="preserve"> IFERROR(ROUND(AT169 / VLOOKUP(A169,Tabla1[#All],2,0),0),"s.i")</f>
        <v>94844638</v>
      </c>
      <c r="AV169" s="33">
        <f xml:space="preserve"> IF(AU169="s.i", "s.i", IF(AND(AU169&gt;=Deflactor!$BQ$298,AU169&lt;Deflactor!$BQ$299), Deflactor!$BP$298, IF(AND(AU169&gt;=Deflactor!$BQ$299,AU169&lt;Deflactor!$BQ$300), Deflactor!$BP$299, IF(AND(AU169&gt;=Deflactor!$BQ$300,AU169&lt;Deflactor!$BQ$301), Deflactor!$BP$300, IF(AND(AU169&gt;=Deflactor!$BQ$301,AU169&lt;Deflactor!$BQ$302), Deflactor!$BP$301, IF(AND(AU169&gt;=Deflactor!$BQ$302,AU169&lt;Deflactor!$BQ$303), Deflactor!$BP$302, IF(AND(AU169&gt;=Deflactor!$BQ$303,AU169&lt;Deflactor!$BQ$304), Deflactor!$BP$303, IF(AND(AU169&gt;=Deflactor!$BQ$304,AU169&lt;Deflactor!$BQ$305), Deflactor!$BP$304, IF(AND(AU169&gt;=Deflactor!$BQ$305,AU169&lt;Deflactor!$BQ$306), Deflactor!$BP$305, IF(AND(AU169&gt;=Deflactor!$BQ$306,AU169&lt;Deflactor!$BQ$307), Deflactor!$BP$306, Deflactor!$BP$307) ) ) ) ) ) ) ) ) )</f>
        <v>9</v>
      </c>
    </row>
    <row r="170" spans="1:48" x14ac:dyDescent="0.25">
      <c r="A170" s="3">
        <v>2013</v>
      </c>
      <c r="B170" s="3" t="s">
        <v>237</v>
      </c>
      <c r="C170" s="3" t="s">
        <v>155</v>
      </c>
      <c r="D170" s="3" t="s">
        <v>64</v>
      </c>
      <c r="E170" s="3" t="s">
        <v>238</v>
      </c>
      <c r="F170" s="3" t="s">
        <v>157</v>
      </c>
      <c r="G170" s="3" t="s">
        <v>723</v>
      </c>
      <c r="H170" s="12">
        <v>2008</v>
      </c>
      <c r="I170" s="13"/>
      <c r="J170" s="10" t="s">
        <v>623</v>
      </c>
      <c r="K170" s="3"/>
      <c r="L170" s="3" t="s">
        <v>2546</v>
      </c>
      <c r="M170" s="3" t="s">
        <v>2547</v>
      </c>
      <c r="N170" s="3" t="s">
        <v>2548</v>
      </c>
      <c r="O170" s="3" t="s">
        <v>2549</v>
      </c>
      <c r="P170" s="3" t="s">
        <v>2550</v>
      </c>
      <c r="Q170" s="3"/>
      <c r="R170" s="11" t="s">
        <v>2543</v>
      </c>
      <c r="S170" s="11" t="s">
        <v>2544</v>
      </c>
      <c r="T170" s="11" t="s">
        <v>2545</v>
      </c>
      <c r="U170" s="3"/>
      <c r="V170" s="3"/>
      <c r="W170" s="10" t="str">
        <f>IF( J170="s.i", "s.i", IF(ISBLANK(J170),"Actualizando información",IFERROR(J170 / VLOOKUP(A170,Deflactor!$G$3:$H$64,2,0),"Revisar error" )))</f>
        <v>s.i</v>
      </c>
      <c r="AR170" s="10">
        <f xml:space="preserve"> 4387607 * 1000</f>
        <v>4387607000</v>
      </c>
      <c r="AT170" s="46">
        <f t="shared" si="5"/>
        <v>4387607000</v>
      </c>
      <c r="AU170" s="54">
        <f xml:space="preserve"> IFERROR(ROUND(AT170 / VLOOKUP(A170,Tabla1[#All],2,0),0),"s.i")</f>
        <v>8863939</v>
      </c>
      <c r="AV170" s="33">
        <f xml:space="preserve"> IF(AU170="s.i", "s.i", IF(AND(AU170&gt;=Deflactor!$BQ$298,AU170&lt;Deflactor!$BQ$299), Deflactor!$BP$298, IF(AND(AU170&gt;=Deflactor!$BQ$299,AU170&lt;Deflactor!$BQ$300), Deflactor!$BP$299, IF(AND(AU170&gt;=Deflactor!$BQ$300,AU170&lt;Deflactor!$BQ$301), Deflactor!$BP$300, IF(AND(AU170&gt;=Deflactor!$BQ$301,AU170&lt;Deflactor!$BQ$302), Deflactor!$BP$301, IF(AND(AU170&gt;=Deflactor!$BQ$302,AU170&lt;Deflactor!$BQ$303), Deflactor!$BP$302, IF(AND(AU170&gt;=Deflactor!$BQ$303,AU170&lt;Deflactor!$BQ$304), Deflactor!$BP$303, IF(AND(AU170&gt;=Deflactor!$BQ$304,AU170&lt;Deflactor!$BQ$305), Deflactor!$BP$304, IF(AND(AU170&gt;=Deflactor!$BQ$305,AU170&lt;Deflactor!$BQ$306), Deflactor!$BP$305, IF(AND(AU170&gt;=Deflactor!$BQ$306,AU170&lt;Deflactor!$BQ$307), Deflactor!$BP$306, Deflactor!$BP$307) ) ) ) ) ) ) ) ) )</f>
        <v>4</v>
      </c>
    </row>
    <row r="171" spans="1:48" x14ac:dyDescent="0.25">
      <c r="A171" s="3">
        <v>2013</v>
      </c>
      <c r="B171" s="3" t="s">
        <v>239</v>
      </c>
      <c r="C171" s="3" t="s">
        <v>92</v>
      </c>
      <c r="D171" s="3" t="s">
        <v>20</v>
      </c>
      <c r="E171" s="3" t="s">
        <v>120</v>
      </c>
      <c r="F171" s="3" t="s">
        <v>89</v>
      </c>
      <c r="G171" s="3" t="s">
        <v>723</v>
      </c>
      <c r="H171" s="12">
        <v>2008</v>
      </c>
      <c r="I171" s="13"/>
      <c r="J171" s="10" t="s">
        <v>623</v>
      </c>
      <c r="K171" s="3" t="s">
        <v>2560</v>
      </c>
      <c r="L171" s="3" t="s">
        <v>2551</v>
      </c>
      <c r="M171" s="3" t="s">
        <v>2552</v>
      </c>
      <c r="N171" s="3" t="s">
        <v>2553</v>
      </c>
      <c r="O171" s="3" t="s">
        <v>2554</v>
      </c>
      <c r="P171" s="3" t="s">
        <v>2555</v>
      </c>
      <c r="Q171" s="3"/>
      <c r="R171" s="11" t="s">
        <v>2556</v>
      </c>
      <c r="S171" s="29" t="s">
        <v>2557</v>
      </c>
      <c r="T171" s="3"/>
      <c r="U171" s="3"/>
      <c r="V171" s="3"/>
      <c r="W171" s="10" t="str">
        <f>IF( J171="s.i", "s.i", IF(ISBLANK(J171),"Actualizando información",IFERROR(J171 / VLOOKUP(A171,Deflactor!$G$3:$H$64,2,0),"Revisar error" )))</f>
        <v>s.i</v>
      </c>
      <c r="AR171" s="10">
        <f xml:space="preserve"> 3941517 * 1000</f>
        <v>3941517000</v>
      </c>
      <c r="AT171" s="46">
        <f t="shared" si="5"/>
        <v>3941517000</v>
      </c>
      <c r="AU171" s="54">
        <f xml:space="preserve"> IFERROR(ROUND(AT171 / VLOOKUP(A171,Tabla1[#All],2,0),0),"s.i")</f>
        <v>7962738</v>
      </c>
      <c r="AV171" s="33">
        <f xml:space="preserve"> IF(AU171="s.i", "s.i", IF(AND(AU171&gt;=Deflactor!$BQ$298,AU171&lt;Deflactor!$BQ$299), Deflactor!$BP$298, IF(AND(AU171&gt;=Deflactor!$BQ$299,AU171&lt;Deflactor!$BQ$300), Deflactor!$BP$299, IF(AND(AU171&gt;=Deflactor!$BQ$300,AU171&lt;Deflactor!$BQ$301), Deflactor!$BP$300, IF(AND(AU171&gt;=Deflactor!$BQ$301,AU171&lt;Deflactor!$BQ$302), Deflactor!$BP$301, IF(AND(AU171&gt;=Deflactor!$BQ$302,AU171&lt;Deflactor!$BQ$303), Deflactor!$BP$302, IF(AND(AU171&gt;=Deflactor!$BQ$303,AU171&lt;Deflactor!$BQ$304), Deflactor!$BP$303, IF(AND(AU171&gt;=Deflactor!$BQ$304,AU171&lt;Deflactor!$BQ$305), Deflactor!$BP$304, IF(AND(AU171&gt;=Deflactor!$BQ$305,AU171&lt;Deflactor!$BQ$306), Deflactor!$BP$305, IF(AND(AU171&gt;=Deflactor!$BQ$306,AU171&lt;Deflactor!$BQ$307), Deflactor!$BP$306, Deflactor!$BP$307) ) ) ) ) ) ) ) ) )</f>
        <v>4</v>
      </c>
    </row>
    <row r="172" spans="1:48" x14ac:dyDescent="0.25">
      <c r="A172" s="3">
        <v>2013</v>
      </c>
      <c r="B172" s="3" t="s">
        <v>240</v>
      </c>
      <c r="C172" s="3" t="s">
        <v>92</v>
      </c>
      <c r="D172" s="3" t="s">
        <v>20</v>
      </c>
      <c r="E172" s="3" t="s">
        <v>120</v>
      </c>
      <c r="F172" s="3" t="s">
        <v>95</v>
      </c>
      <c r="G172" s="3" t="s">
        <v>723</v>
      </c>
      <c r="H172" s="12">
        <v>2008</v>
      </c>
      <c r="I172" s="13"/>
      <c r="J172" s="10" t="s">
        <v>623</v>
      </c>
      <c r="K172" s="3" t="s">
        <v>2560</v>
      </c>
      <c r="L172" s="3" t="s">
        <v>2551</v>
      </c>
      <c r="M172" s="3" t="s">
        <v>2552</v>
      </c>
      <c r="N172" s="3" t="s">
        <v>2553</v>
      </c>
      <c r="O172" s="3" t="s">
        <v>2554</v>
      </c>
      <c r="P172" s="3" t="s">
        <v>2555</v>
      </c>
      <c r="Q172" s="3"/>
      <c r="R172" s="11" t="s">
        <v>2558</v>
      </c>
      <c r="S172" s="11" t="s">
        <v>2559</v>
      </c>
      <c r="T172" s="3"/>
      <c r="U172" s="3"/>
      <c r="V172" s="3"/>
      <c r="W172" s="10" t="str">
        <f>IF( J172="s.i", "s.i", IF(ISBLANK(J172),"Actualizando información",IFERROR(J172 / VLOOKUP(A172,Deflactor!$G$3:$H$64,2,0),"Revisar error" )))</f>
        <v>s.i</v>
      </c>
      <c r="AR172" s="10">
        <f xml:space="preserve"> 3941517 * 1000</f>
        <v>3941517000</v>
      </c>
      <c r="AT172" s="46">
        <f t="shared" si="5"/>
        <v>3941517000</v>
      </c>
      <c r="AU172" s="54">
        <f xml:space="preserve"> IFERROR(ROUND(AT172 / VLOOKUP(A172,Tabla1[#All],2,0),0),"s.i")</f>
        <v>7962738</v>
      </c>
      <c r="AV172" s="33">
        <f xml:space="preserve"> IF(AU172="s.i", "s.i", IF(AND(AU172&gt;=Deflactor!$BQ$298,AU172&lt;Deflactor!$BQ$299), Deflactor!$BP$298, IF(AND(AU172&gt;=Deflactor!$BQ$299,AU172&lt;Deflactor!$BQ$300), Deflactor!$BP$299, IF(AND(AU172&gt;=Deflactor!$BQ$300,AU172&lt;Deflactor!$BQ$301), Deflactor!$BP$300, IF(AND(AU172&gt;=Deflactor!$BQ$301,AU172&lt;Deflactor!$BQ$302), Deflactor!$BP$301, IF(AND(AU172&gt;=Deflactor!$BQ$302,AU172&lt;Deflactor!$BQ$303), Deflactor!$BP$302, IF(AND(AU172&gt;=Deflactor!$BQ$303,AU172&lt;Deflactor!$BQ$304), Deflactor!$BP$303, IF(AND(AU172&gt;=Deflactor!$BQ$304,AU172&lt;Deflactor!$BQ$305), Deflactor!$BP$304, IF(AND(AU172&gt;=Deflactor!$BQ$305,AU172&lt;Deflactor!$BQ$306), Deflactor!$BP$305, IF(AND(AU172&gt;=Deflactor!$BQ$306,AU172&lt;Deflactor!$BQ$307), Deflactor!$BP$306, Deflactor!$BP$307) ) ) ) ) ) ) ) ) )</f>
        <v>4</v>
      </c>
    </row>
    <row r="173" spans="1:48" x14ac:dyDescent="0.25">
      <c r="A173" s="3">
        <v>2013</v>
      </c>
      <c r="B173" s="3" t="s">
        <v>241</v>
      </c>
      <c r="C173" s="3" t="s">
        <v>92</v>
      </c>
      <c r="D173" s="3" t="s">
        <v>20</v>
      </c>
      <c r="E173" s="3" t="s">
        <v>120</v>
      </c>
      <c r="F173" s="3" t="s">
        <v>89</v>
      </c>
      <c r="G173" s="3" t="s">
        <v>723</v>
      </c>
      <c r="H173" s="12">
        <v>2008</v>
      </c>
      <c r="I173" s="13"/>
      <c r="J173" s="10" t="s">
        <v>623</v>
      </c>
      <c r="K173" s="3" t="s">
        <v>2560</v>
      </c>
      <c r="L173" s="3" t="s">
        <v>2551</v>
      </c>
      <c r="M173" s="3" t="s">
        <v>2552</v>
      </c>
      <c r="N173" s="3" t="s">
        <v>2553</v>
      </c>
      <c r="O173" s="3" t="s">
        <v>2554</v>
      </c>
      <c r="P173" s="3" t="s">
        <v>2555</v>
      </c>
      <c r="Q173" s="3"/>
      <c r="R173" s="11" t="s">
        <v>2561</v>
      </c>
      <c r="S173" s="29" t="s">
        <v>2562</v>
      </c>
      <c r="T173" s="3"/>
      <c r="U173" s="3"/>
      <c r="V173" s="3"/>
      <c r="W173" s="10" t="str">
        <f>IF( J173="s.i", "s.i", IF(ISBLANK(J173),"Actualizando información",IFERROR(J173 / VLOOKUP(A173,Deflactor!$G$3:$H$64,2,0),"Revisar error" )))</f>
        <v>s.i</v>
      </c>
      <c r="AR173" s="10">
        <f xml:space="preserve"> 3941517 * 1000</f>
        <v>3941517000</v>
      </c>
      <c r="AT173" s="46">
        <f t="shared" si="5"/>
        <v>3941517000</v>
      </c>
      <c r="AU173" s="54">
        <f xml:space="preserve"> IFERROR(ROUND(AT173 / VLOOKUP(A173,Tabla1[#All],2,0),0),"s.i")</f>
        <v>7962738</v>
      </c>
      <c r="AV173" s="33">
        <f xml:space="preserve"> IF(AU173="s.i", "s.i", IF(AND(AU173&gt;=Deflactor!$BQ$298,AU173&lt;Deflactor!$BQ$299), Deflactor!$BP$298, IF(AND(AU173&gt;=Deflactor!$BQ$299,AU173&lt;Deflactor!$BQ$300), Deflactor!$BP$299, IF(AND(AU173&gt;=Deflactor!$BQ$300,AU173&lt;Deflactor!$BQ$301), Deflactor!$BP$300, IF(AND(AU173&gt;=Deflactor!$BQ$301,AU173&lt;Deflactor!$BQ$302), Deflactor!$BP$301, IF(AND(AU173&gt;=Deflactor!$BQ$302,AU173&lt;Deflactor!$BQ$303), Deflactor!$BP$302, IF(AND(AU173&gt;=Deflactor!$BQ$303,AU173&lt;Deflactor!$BQ$304), Deflactor!$BP$303, IF(AND(AU173&gt;=Deflactor!$BQ$304,AU173&lt;Deflactor!$BQ$305), Deflactor!$BP$304, IF(AND(AU173&gt;=Deflactor!$BQ$305,AU173&lt;Deflactor!$BQ$306), Deflactor!$BP$305, IF(AND(AU173&gt;=Deflactor!$BQ$306,AU173&lt;Deflactor!$BQ$307), Deflactor!$BP$306, Deflactor!$BP$307) ) ) ) ) ) ) ) ) )</f>
        <v>4</v>
      </c>
    </row>
    <row r="174" spans="1:48" x14ac:dyDescent="0.25">
      <c r="A174" s="3">
        <v>2013</v>
      </c>
      <c r="B174" s="3" t="s">
        <v>242</v>
      </c>
      <c r="C174" s="3" t="s">
        <v>7</v>
      </c>
      <c r="D174" s="3" t="s">
        <v>54</v>
      </c>
      <c r="E174" s="3" t="s">
        <v>243</v>
      </c>
      <c r="F174" s="3" t="s">
        <v>95</v>
      </c>
      <c r="G174" s="3" t="s">
        <v>723</v>
      </c>
      <c r="H174" s="12">
        <v>2005</v>
      </c>
      <c r="I174" s="13"/>
      <c r="J174" s="10">
        <f xml:space="preserve"> 134687177 * 1000</f>
        <v>134687177000</v>
      </c>
      <c r="K174" s="3"/>
      <c r="L174" s="3" t="s">
        <v>2566</v>
      </c>
      <c r="M174" s="3" t="s">
        <v>2567</v>
      </c>
      <c r="N174" s="3" t="s">
        <v>2568</v>
      </c>
      <c r="O174" s="3" t="s">
        <v>2569</v>
      </c>
      <c r="P174" s="3" t="s">
        <v>2570</v>
      </c>
      <c r="Q174" s="3"/>
      <c r="R174" s="11" t="s">
        <v>2563</v>
      </c>
      <c r="S174" s="11" t="s">
        <v>2564</v>
      </c>
      <c r="T174" s="11" t="s">
        <v>2565</v>
      </c>
      <c r="U174" s="3"/>
      <c r="V174" s="3"/>
      <c r="W174" s="10">
        <f>IF( J174="s.i", "s.i", IF(ISBLANK(J174),"Actualizando información",IFERROR(J174 / VLOOKUP(A174,Deflactor!$G$3:$H$64,2,0),"Revisar error" )))</f>
        <v>134687177000</v>
      </c>
      <c r="AR174" s="10">
        <f xml:space="preserve"> 134687177 * 1000</f>
        <v>134687177000</v>
      </c>
      <c r="AT174" s="46">
        <f t="shared" si="5"/>
        <v>134687177000</v>
      </c>
      <c r="AU174" s="54">
        <f xml:space="preserve"> IFERROR(ROUND(AT174 / VLOOKUP(A174,Tabla1[#All],2,0),0),"s.i")</f>
        <v>272097967</v>
      </c>
      <c r="AV174" s="33">
        <f xml:space="preserve"> IF(AU174="s.i", "s.i", IF(AND(AU174&gt;=Deflactor!$BQ$298,AU174&lt;Deflactor!$BQ$299), Deflactor!$BP$298, IF(AND(AU174&gt;=Deflactor!$BQ$299,AU174&lt;Deflactor!$BQ$300), Deflactor!$BP$299, IF(AND(AU174&gt;=Deflactor!$BQ$300,AU174&lt;Deflactor!$BQ$301), Deflactor!$BP$300, IF(AND(AU174&gt;=Deflactor!$BQ$301,AU174&lt;Deflactor!$BQ$302), Deflactor!$BP$301, IF(AND(AU174&gt;=Deflactor!$BQ$302,AU174&lt;Deflactor!$BQ$303), Deflactor!$BP$302, IF(AND(AU174&gt;=Deflactor!$BQ$303,AU174&lt;Deflactor!$BQ$304), Deflactor!$BP$303, IF(AND(AU174&gt;=Deflactor!$BQ$304,AU174&lt;Deflactor!$BQ$305), Deflactor!$BP$304, IF(AND(AU174&gt;=Deflactor!$BQ$305,AU174&lt;Deflactor!$BQ$306), Deflactor!$BP$305, IF(AND(AU174&gt;=Deflactor!$BQ$306,AU174&lt;Deflactor!$BQ$307), Deflactor!$BP$306, Deflactor!$BP$307) ) ) ) ) ) ) ) ) )</f>
        <v>10</v>
      </c>
    </row>
    <row r="175" spans="1:48" x14ac:dyDescent="0.25">
      <c r="A175" s="3">
        <v>2012</v>
      </c>
      <c r="B175" s="3" t="s">
        <v>244</v>
      </c>
      <c r="C175" s="3" t="s">
        <v>92</v>
      </c>
      <c r="D175" s="3" t="s">
        <v>8</v>
      </c>
      <c r="E175" s="3" t="s">
        <v>51</v>
      </c>
      <c r="F175" s="3" t="s">
        <v>157</v>
      </c>
      <c r="G175" s="3" t="s">
        <v>623</v>
      </c>
      <c r="H175" s="12">
        <v>2004</v>
      </c>
      <c r="I175" s="13" t="s">
        <v>623</v>
      </c>
      <c r="J175" s="10" t="s">
        <v>623</v>
      </c>
      <c r="K175" s="3" t="s">
        <v>2303</v>
      </c>
      <c r="L175" s="3" t="s">
        <v>1442</v>
      </c>
      <c r="M175" s="3" t="s">
        <v>1443</v>
      </c>
      <c r="N175" s="3" t="s">
        <v>1444</v>
      </c>
      <c r="O175" s="3"/>
      <c r="P175" s="3"/>
      <c r="Q175" s="3"/>
      <c r="R175" s="3" t="s">
        <v>1445</v>
      </c>
      <c r="S175" s="3"/>
      <c r="T175" s="3"/>
      <c r="U175" s="3" t="s">
        <v>1446</v>
      </c>
      <c r="V175" s="3"/>
      <c r="W175" s="10" t="str">
        <f>IF( J175="s.i", "s.i", IF(ISBLANK(J175),"Actualizando información",IFERROR(J175 / VLOOKUP(A175,Deflactor!$G$3:$H$64,2,0),"Revisar error" )))</f>
        <v>s.i</v>
      </c>
      <c r="AR175" s="34">
        <f xml:space="preserve"> 16040645 * 1000</f>
        <v>16040645000</v>
      </c>
      <c r="AT175" s="46">
        <f t="shared" si="5"/>
        <v>16040645000</v>
      </c>
      <c r="AU175" s="54">
        <f xml:space="preserve"> IFERROR(ROUND(AT175 / VLOOKUP(A175,Tabla1[#All],2,0),0),"s.i")</f>
        <v>32954820</v>
      </c>
      <c r="AV175" s="33">
        <f xml:space="preserve"> IF(AU175="s.i", "s.i", IF(AND(AU175&gt;=Deflactor!$BQ$298,AU175&lt;Deflactor!$BQ$299), Deflactor!$BP$298, IF(AND(AU175&gt;=Deflactor!$BQ$299,AU175&lt;Deflactor!$BQ$300), Deflactor!$BP$299, IF(AND(AU175&gt;=Deflactor!$BQ$300,AU175&lt;Deflactor!$BQ$301), Deflactor!$BP$300, IF(AND(AU175&gt;=Deflactor!$BQ$301,AU175&lt;Deflactor!$BQ$302), Deflactor!$BP$301, IF(AND(AU175&gt;=Deflactor!$BQ$302,AU175&lt;Deflactor!$BQ$303), Deflactor!$BP$302, IF(AND(AU175&gt;=Deflactor!$BQ$303,AU175&lt;Deflactor!$BQ$304), Deflactor!$BP$303, IF(AND(AU175&gt;=Deflactor!$BQ$304,AU175&lt;Deflactor!$BQ$305), Deflactor!$BP$304, IF(AND(AU175&gt;=Deflactor!$BQ$305,AU175&lt;Deflactor!$BQ$306), Deflactor!$BP$305, IF(AND(AU175&gt;=Deflactor!$BQ$306,AU175&lt;Deflactor!$BQ$307), Deflactor!$BP$306, Deflactor!$BP$307) ) ) ) ) ) ) ) ) )</f>
        <v>8</v>
      </c>
    </row>
    <row r="176" spans="1:48" x14ac:dyDescent="0.25">
      <c r="A176" s="3">
        <v>2012</v>
      </c>
      <c r="B176" s="3" t="s">
        <v>245</v>
      </c>
      <c r="C176" s="3" t="s">
        <v>7</v>
      </c>
      <c r="D176" s="3" t="s">
        <v>12</v>
      </c>
      <c r="E176" s="3" t="s">
        <v>13</v>
      </c>
      <c r="F176" s="3" t="s">
        <v>89</v>
      </c>
      <c r="G176" s="3" t="s">
        <v>723</v>
      </c>
      <c r="H176" s="12">
        <v>1982</v>
      </c>
      <c r="I176" s="13" t="s">
        <v>623</v>
      </c>
      <c r="J176" s="10">
        <f xml:space="preserve"> 14262 * 1000000</f>
        <v>14262000000</v>
      </c>
      <c r="K176" s="3" t="s">
        <v>1672</v>
      </c>
      <c r="L176" s="3" t="s">
        <v>1447</v>
      </c>
      <c r="M176" s="3" t="s">
        <v>1448</v>
      </c>
      <c r="N176" s="3" t="s">
        <v>1449</v>
      </c>
      <c r="O176" s="3" t="s">
        <v>1450</v>
      </c>
      <c r="P176" s="3"/>
      <c r="Q176" s="3"/>
      <c r="R176" s="3" t="s">
        <v>1451</v>
      </c>
      <c r="S176" s="3" t="s">
        <v>1452</v>
      </c>
      <c r="T176" s="3"/>
      <c r="U176" s="30" t="s">
        <v>1324</v>
      </c>
      <c r="V176" s="3"/>
      <c r="W176" s="10">
        <f>IF( J176="s.i", "s.i", IF(ISBLANK(J176),"Actualizando información",IFERROR(J176 / VLOOKUP(A176,Deflactor!$G$3:$H$64,2,0),"Revisar error" )))</f>
        <v>14543909147.932167</v>
      </c>
      <c r="AR176" s="10">
        <f xml:space="preserve"> 14262616 * 1000</f>
        <v>14262616000</v>
      </c>
      <c r="AT176" s="46">
        <f t="shared" si="5"/>
        <v>14262616000</v>
      </c>
      <c r="AU176" s="54">
        <f xml:space="preserve"> IFERROR(ROUND(AT176 / VLOOKUP(A176,Tabla1[#All],2,0),0),"s.i")</f>
        <v>29301935</v>
      </c>
      <c r="AV176" s="33">
        <f xml:space="preserve"> IF(AU176="s.i", "s.i", IF(AND(AU176&gt;=Deflactor!$BQ$298,AU176&lt;Deflactor!$BQ$299), Deflactor!$BP$298, IF(AND(AU176&gt;=Deflactor!$BQ$299,AU176&lt;Deflactor!$BQ$300), Deflactor!$BP$299, IF(AND(AU176&gt;=Deflactor!$BQ$300,AU176&lt;Deflactor!$BQ$301), Deflactor!$BP$300, IF(AND(AU176&gt;=Deflactor!$BQ$301,AU176&lt;Deflactor!$BQ$302), Deflactor!$BP$301, IF(AND(AU176&gt;=Deflactor!$BQ$302,AU176&lt;Deflactor!$BQ$303), Deflactor!$BP$302, IF(AND(AU176&gt;=Deflactor!$BQ$303,AU176&lt;Deflactor!$BQ$304), Deflactor!$BP$303, IF(AND(AU176&gt;=Deflactor!$BQ$304,AU176&lt;Deflactor!$BQ$305), Deflactor!$BP$304, IF(AND(AU176&gt;=Deflactor!$BQ$305,AU176&lt;Deflactor!$BQ$306), Deflactor!$BP$305, IF(AND(AU176&gt;=Deflactor!$BQ$306,AU176&lt;Deflactor!$BQ$307), Deflactor!$BP$306, Deflactor!$BP$307) ) ) ) ) ) ) ) ) )</f>
        <v>7</v>
      </c>
    </row>
    <row r="177" spans="1:48" x14ac:dyDescent="0.25">
      <c r="A177" s="3">
        <v>2012</v>
      </c>
      <c r="B177" s="3" t="s">
        <v>246</v>
      </c>
      <c r="C177" s="3" t="s">
        <v>7</v>
      </c>
      <c r="D177" s="3" t="s">
        <v>25</v>
      </c>
      <c r="E177" s="3" t="s">
        <v>29</v>
      </c>
      <c r="F177" s="3" t="s">
        <v>95</v>
      </c>
      <c r="G177" s="3" t="s">
        <v>723</v>
      </c>
      <c r="H177" s="12">
        <v>2008</v>
      </c>
      <c r="I177" s="13" t="s">
        <v>623</v>
      </c>
      <c r="J177" s="10">
        <f xml:space="preserve"> 6790 * 1000000</f>
        <v>6790000000</v>
      </c>
      <c r="K177" s="3" t="s">
        <v>2192</v>
      </c>
      <c r="L177" s="3" t="s">
        <v>1453</v>
      </c>
      <c r="M177" s="3" t="s">
        <v>1454</v>
      </c>
      <c r="N177" s="3" t="s">
        <v>1455</v>
      </c>
      <c r="O177" s="3" t="s">
        <v>1456</v>
      </c>
      <c r="P177" s="3"/>
      <c r="Q177" s="3"/>
      <c r="R177" s="3" t="s">
        <v>1457</v>
      </c>
      <c r="S177" s="3" t="s">
        <v>1458</v>
      </c>
      <c r="T177" s="3" t="s">
        <v>1459</v>
      </c>
      <c r="U177" s="3" t="s">
        <v>877</v>
      </c>
      <c r="V177" s="3"/>
      <c r="W177" s="10">
        <f>IF( J177="s.i", "s.i", IF(ISBLANK(J177),"Actualizando información",IFERROR(J177 / VLOOKUP(A177,Deflactor!$G$3:$H$64,2,0),"Revisar error" )))</f>
        <v>6924214213.6067457</v>
      </c>
      <c r="AR177" s="10">
        <f xml:space="preserve"> 7385442 * 1000</f>
        <v>7385442000</v>
      </c>
      <c r="AT177" s="46">
        <f t="shared" si="5"/>
        <v>7385442000</v>
      </c>
      <c r="AU177" s="54">
        <f xml:space="preserve"> IFERROR(ROUND(AT177 / VLOOKUP(A177,Tabla1[#All],2,0),0),"s.i")</f>
        <v>15173075</v>
      </c>
      <c r="AV177" s="33">
        <f xml:space="preserve"> IF(AU177="s.i", "s.i", IF(AND(AU177&gt;=Deflactor!$BQ$298,AU177&lt;Deflactor!$BQ$299), Deflactor!$BP$298, IF(AND(AU177&gt;=Deflactor!$BQ$299,AU177&lt;Deflactor!$BQ$300), Deflactor!$BP$299, IF(AND(AU177&gt;=Deflactor!$BQ$300,AU177&lt;Deflactor!$BQ$301), Deflactor!$BP$300, IF(AND(AU177&gt;=Deflactor!$BQ$301,AU177&lt;Deflactor!$BQ$302), Deflactor!$BP$301, IF(AND(AU177&gt;=Deflactor!$BQ$302,AU177&lt;Deflactor!$BQ$303), Deflactor!$BP$302, IF(AND(AU177&gt;=Deflactor!$BQ$303,AU177&lt;Deflactor!$BQ$304), Deflactor!$BP$303, IF(AND(AU177&gt;=Deflactor!$BQ$304,AU177&lt;Deflactor!$BQ$305), Deflactor!$BP$304, IF(AND(AU177&gt;=Deflactor!$BQ$305,AU177&lt;Deflactor!$BQ$306), Deflactor!$BP$305, IF(AND(AU177&gt;=Deflactor!$BQ$306,AU177&lt;Deflactor!$BQ$307), Deflactor!$BP$306, Deflactor!$BP$307) ) ) ) ) ) ) ) ) )</f>
        <v>6</v>
      </c>
    </row>
    <row r="178" spans="1:48" x14ac:dyDescent="0.25">
      <c r="A178" s="3">
        <v>2012</v>
      </c>
      <c r="B178" s="3" t="s">
        <v>247</v>
      </c>
      <c r="C178" s="3" t="s">
        <v>7</v>
      </c>
      <c r="D178" s="3" t="s">
        <v>40</v>
      </c>
      <c r="E178" s="3" t="s">
        <v>43</v>
      </c>
      <c r="F178" s="3" t="s">
        <v>194</v>
      </c>
      <c r="G178" s="3" t="s">
        <v>623</v>
      </c>
      <c r="H178" s="12">
        <v>2010</v>
      </c>
      <c r="I178" s="13" t="s">
        <v>623</v>
      </c>
      <c r="J178" s="10">
        <f xml:space="preserve"> 4992810 * 1000000</f>
        <v>4992810000000</v>
      </c>
      <c r="K178" s="3"/>
      <c r="L178" s="3" t="s">
        <v>1460</v>
      </c>
      <c r="M178" s="3" t="s">
        <v>1461</v>
      </c>
      <c r="N178" s="3" t="s">
        <v>1462</v>
      </c>
      <c r="O178" s="3" t="s">
        <v>1463</v>
      </c>
      <c r="P178" s="3" t="s">
        <v>1464</v>
      </c>
      <c r="Q178" s="3"/>
      <c r="R178" s="3" t="s">
        <v>1465</v>
      </c>
      <c r="S178" s="3" t="s">
        <v>1466</v>
      </c>
      <c r="T178" s="3" t="s">
        <v>1467</v>
      </c>
      <c r="U178" s="3" t="s">
        <v>247</v>
      </c>
      <c r="V178" s="3"/>
      <c r="W178" s="10">
        <f>IF( J178="s.i", "s.i", IF(ISBLANK(J178),"Actualizando información",IFERROR(J178 / VLOOKUP(A178,Deflactor!$G$3:$H$64,2,0),"Revisar error" )))</f>
        <v>5091500142538.7188</v>
      </c>
      <c r="AR178" s="34" t="s">
        <v>2357</v>
      </c>
      <c r="AT178" s="46" t="str">
        <f>'Notas reunion'!T56</f>
        <v>s.i</v>
      </c>
      <c r="AU178" s="54" t="str">
        <f xml:space="preserve"> IFERROR(ROUND(AT178 / VLOOKUP(A178,Tabla1[#All],2,0),0),"s.i")</f>
        <v>s.i</v>
      </c>
      <c r="AV178" s="33" t="str">
        <f xml:space="preserve"> IF(AU178="s.i", "s.i", IF(AND(AU178&gt;=Deflactor!$BQ$298,AU178&lt;Deflactor!$BQ$299), Deflactor!$BP$298, IF(AND(AU178&gt;=Deflactor!$BQ$299,AU178&lt;Deflactor!$BQ$300), Deflactor!$BP$299, IF(AND(AU178&gt;=Deflactor!$BQ$300,AU178&lt;Deflactor!$BQ$301), Deflactor!$BP$300, IF(AND(AU178&gt;=Deflactor!$BQ$301,AU178&lt;Deflactor!$BQ$302), Deflactor!$BP$301, IF(AND(AU178&gt;=Deflactor!$BQ$302,AU178&lt;Deflactor!$BQ$303), Deflactor!$BP$302, IF(AND(AU178&gt;=Deflactor!$BQ$303,AU178&lt;Deflactor!$BQ$304), Deflactor!$BP$303, IF(AND(AU178&gt;=Deflactor!$BQ$304,AU178&lt;Deflactor!$BQ$305), Deflactor!$BP$304, IF(AND(AU178&gt;=Deflactor!$BQ$305,AU178&lt;Deflactor!$BQ$306), Deflactor!$BP$305, IF(AND(AU178&gt;=Deflactor!$BQ$306,AU178&lt;Deflactor!$BQ$307), Deflactor!$BP$306, Deflactor!$BP$307) ) ) ) ) ) ) ) ) )</f>
        <v>s.i</v>
      </c>
    </row>
    <row r="179" spans="1:48" x14ac:dyDescent="0.25">
      <c r="A179" s="3">
        <v>2012</v>
      </c>
      <c r="B179" s="3" t="s">
        <v>248</v>
      </c>
      <c r="C179" s="3" t="s">
        <v>7</v>
      </c>
      <c r="D179" s="3" t="s">
        <v>54</v>
      </c>
      <c r="E179" s="3" t="s">
        <v>236</v>
      </c>
      <c r="F179" s="3" t="s">
        <v>95</v>
      </c>
      <c r="G179" s="3" t="s">
        <v>723</v>
      </c>
      <c r="H179" s="12">
        <v>1979</v>
      </c>
      <c r="I179" s="13" t="s">
        <v>623</v>
      </c>
      <c r="J179" s="10">
        <f xml:space="preserve"> 25639 * 1000000</f>
        <v>25639000000</v>
      </c>
      <c r="K179" s="3"/>
      <c r="L179" s="3" t="s">
        <v>1468</v>
      </c>
      <c r="M179" s="3" t="s">
        <v>1469</v>
      </c>
      <c r="N179" s="3"/>
      <c r="O179" s="3"/>
      <c r="P179" s="3"/>
      <c r="Q179" s="3"/>
      <c r="R179" s="3" t="s">
        <v>1470</v>
      </c>
      <c r="S179" s="3" t="s">
        <v>1471</v>
      </c>
      <c r="T179" s="3" t="s">
        <v>1472</v>
      </c>
      <c r="U179" s="3"/>
      <c r="V179" s="3"/>
      <c r="W179" s="10">
        <f>IF( J179="s.i", "s.i", IF(ISBLANK(J179),"Actualizando información",IFERROR(J179 / VLOOKUP(A179,Deflactor!$G$3:$H$64,2,0),"Revisar error" )))</f>
        <v>26145792079.920967</v>
      </c>
      <c r="AR179" s="10">
        <f xml:space="preserve"> 24176007 * 1000</f>
        <v>24176007000</v>
      </c>
      <c r="AT179" s="46">
        <f t="shared" si="5"/>
        <v>24176007000</v>
      </c>
      <c r="AU179" s="54">
        <f xml:space="preserve"> IFERROR(ROUND(AT179 / VLOOKUP(A179,Tabla1[#All],2,0),0),"s.i")</f>
        <v>49668573</v>
      </c>
      <c r="AV179" s="33">
        <f xml:space="preserve"> IF(AU179="s.i", "s.i", IF(AND(AU179&gt;=Deflactor!$BQ$298,AU179&lt;Deflactor!$BQ$299), Deflactor!$BP$298, IF(AND(AU179&gt;=Deflactor!$BQ$299,AU179&lt;Deflactor!$BQ$300), Deflactor!$BP$299, IF(AND(AU179&gt;=Deflactor!$BQ$300,AU179&lt;Deflactor!$BQ$301), Deflactor!$BP$300, IF(AND(AU179&gt;=Deflactor!$BQ$301,AU179&lt;Deflactor!$BQ$302), Deflactor!$BP$301, IF(AND(AU179&gt;=Deflactor!$BQ$302,AU179&lt;Deflactor!$BQ$303), Deflactor!$BP$302, IF(AND(AU179&gt;=Deflactor!$BQ$303,AU179&lt;Deflactor!$BQ$304), Deflactor!$BP$303, IF(AND(AU179&gt;=Deflactor!$BQ$304,AU179&lt;Deflactor!$BQ$305), Deflactor!$BP$304, IF(AND(AU179&gt;=Deflactor!$BQ$305,AU179&lt;Deflactor!$BQ$306), Deflactor!$BP$305, IF(AND(AU179&gt;=Deflactor!$BQ$306,AU179&lt;Deflactor!$BQ$307), Deflactor!$BP$306, Deflactor!$BP$307) ) ) ) ) ) ) ) ) )</f>
        <v>8</v>
      </c>
    </row>
    <row r="180" spans="1:48" x14ac:dyDescent="0.25">
      <c r="A180" s="3">
        <v>2012</v>
      </c>
      <c r="B180" s="3" t="s">
        <v>249</v>
      </c>
      <c r="C180" s="3" t="s">
        <v>7</v>
      </c>
      <c r="D180" s="3" t="s">
        <v>20</v>
      </c>
      <c r="E180" s="3" t="s">
        <v>23</v>
      </c>
      <c r="F180" s="3" t="s">
        <v>89</v>
      </c>
      <c r="G180" s="3" t="s">
        <v>723</v>
      </c>
      <c r="H180" s="12">
        <v>2006</v>
      </c>
      <c r="I180" s="13" t="s">
        <v>623</v>
      </c>
      <c r="J180" s="10">
        <f xml:space="preserve"> 3582775 * 1000</f>
        <v>3582775000</v>
      </c>
      <c r="K180" s="3" t="s">
        <v>1656</v>
      </c>
      <c r="L180" s="3" t="s">
        <v>1473</v>
      </c>
      <c r="M180" s="3" t="s">
        <v>1474</v>
      </c>
      <c r="N180" s="3" t="s">
        <v>1475</v>
      </c>
      <c r="O180" s="3" t="s">
        <v>1476</v>
      </c>
      <c r="P180" s="3" t="s">
        <v>1477</v>
      </c>
      <c r="Q180" s="3"/>
      <c r="R180" s="3" t="s">
        <v>1478</v>
      </c>
      <c r="S180" s="3" t="s">
        <v>1479</v>
      </c>
      <c r="T180" s="3"/>
      <c r="U180" s="3"/>
      <c r="V180" s="3"/>
      <c r="W180" s="10">
        <f>IF( J180="s.i", "s.i", IF(ISBLANK(J180),"Actualizando información",IFERROR(J180 / VLOOKUP(A180,Deflactor!$G$3:$H$64,2,0),"Revisar error" )))</f>
        <v>3653593752.4528584</v>
      </c>
      <c r="AR180" s="34">
        <f xml:space="preserve"> 3576648 * 1000</f>
        <v>3576648000</v>
      </c>
      <c r="AT180" s="46">
        <f t="shared" si="5"/>
        <v>3576648000</v>
      </c>
      <c r="AU180" s="54">
        <f xml:space="preserve"> IFERROR(ROUND(AT180 / VLOOKUP(A180,Tabla1[#All],2,0),0),"s.i")</f>
        <v>7348070</v>
      </c>
      <c r="AV180" s="33">
        <f xml:space="preserve"> IF(AU180="s.i", "s.i", IF(AND(AU180&gt;=Deflactor!$BQ$298,AU180&lt;Deflactor!$BQ$299), Deflactor!$BP$298, IF(AND(AU180&gt;=Deflactor!$BQ$299,AU180&lt;Deflactor!$BQ$300), Deflactor!$BP$299, IF(AND(AU180&gt;=Deflactor!$BQ$300,AU180&lt;Deflactor!$BQ$301), Deflactor!$BP$300, IF(AND(AU180&gt;=Deflactor!$BQ$301,AU180&lt;Deflactor!$BQ$302), Deflactor!$BP$301, IF(AND(AU180&gt;=Deflactor!$BQ$302,AU180&lt;Deflactor!$BQ$303), Deflactor!$BP$302, IF(AND(AU180&gt;=Deflactor!$BQ$303,AU180&lt;Deflactor!$BQ$304), Deflactor!$BP$303, IF(AND(AU180&gt;=Deflactor!$BQ$304,AU180&lt;Deflactor!$BQ$305), Deflactor!$BP$304, IF(AND(AU180&gt;=Deflactor!$BQ$305,AU180&lt;Deflactor!$BQ$306), Deflactor!$BP$305, IF(AND(AU180&gt;=Deflactor!$BQ$306,AU180&lt;Deflactor!$BQ$307), Deflactor!$BP$306, Deflactor!$BP$307) ) ) ) ) ) ) ) ) )</f>
        <v>3</v>
      </c>
    </row>
    <row r="181" spans="1:48" x14ac:dyDescent="0.25">
      <c r="A181" s="3">
        <v>2012</v>
      </c>
      <c r="B181" s="3" t="s">
        <v>250</v>
      </c>
      <c r="C181" s="3" t="s">
        <v>7</v>
      </c>
      <c r="D181" s="3" t="s">
        <v>20</v>
      </c>
      <c r="E181" s="3" t="s">
        <v>178</v>
      </c>
      <c r="F181" s="3" t="s">
        <v>194</v>
      </c>
      <c r="G181" s="3" t="s">
        <v>723</v>
      </c>
      <c r="H181" s="12">
        <v>2003</v>
      </c>
      <c r="I181" s="13" t="s">
        <v>623</v>
      </c>
      <c r="J181" s="10">
        <f xml:space="preserve"> 4047 * 1000000</f>
        <v>4047000000</v>
      </c>
      <c r="K181" s="3" t="s">
        <v>2147</v>
      </c>
      <c r="L181" s="3" t="s">
        <v>1480</v>
      </c>
      <c r="M181" s="3" t="s">
        <v>1481</v>
      </c>
      <c r="N181" s="3" t="s">
        <v>1482</v>
      </c>
      <c r="O181" s="3" t="s">
        <v>1483</v>
      </c>
      <c r="P181" s="3"/>
      <c r="Q181" s="3"/>
      <c r="R181" s="3" t="s">
        <v>1484</v>
      </c>
      <c r="S181" s="3" t="s">
        <v>1485</v>
      </c>
      <c r="T181" s="3" t="s">
        <v>1486</v>
      </c>
      <c r="U181" s="3" t="s">
        <v>250</v>
      </c>
      <c r="V181" s="3"/>
      <c r="W181" s="10">
        <f>IF( J181="s.i", "s.i", IF(ISBLANK(J181),"Actualizando información",IFERROR(J181 / VLOOKUP(A181,Deflactor!$G$3:$H$64,2,0),"Revisar error" )))</f>
        <v>4126994833.9420476</v>
      </c>
      <c r="AR181" s="10">
        <f xml:space="preserve"> 3974370 * 1000</f>
        <v>3974370000</v>
      </c>
      <c r="AT181" s="46">
        <f t="shared" si="5"/>
        <v>3974370000</v>
      </c>
      <c r="AU181" s="54">
        <f xml:space="preserve"> IFERROR(ROUND(AT181 / VLOOKUP(A181,Tabla1[#All],2,0),0),"s.i")</f>
        <v>8165173</v>
      </c>
      <c r="AV181" s="33">
        <f xml:space="preserve"> IF(AU181="s.i", "s.i", IF(AND(AU181&gt;=Deflactor!$BQ$298,AU181&lt;Deflactor!$BQ$299), Deflactor!$BP$298, IF(AND(AU181&gt;=Deflactor!$BQ$299,AU181&lt;Deflactor!$BQ$300), Deflactor!$BP$299, IF(AND(AU181&gt;=Deflactor!$BQ$300,AU181&lt;Deflactor!$BQ$301), Deflactor!$BP$300, IF(AND(AU181&gt;=Deflactor!$BQ$301,AU181&lt;Deflactor!$BQ$302), Deflactor!$BP$301, IF(AND(AU181&gt;=Deflactor!$BQ$302,AU181&lt;Deflactor!$BQ$303), Deflactor!$BP$302, IF(AND(AU181&gt;=Deflactor!$BQ$303,AU181&lt;Deflactor!$BQ$304), Deflactor!$BP$303, IF(AND(AU181&gt;=Deflactor!$BQ$304,AU181&lt;Deflactor!$BQ$305), Deflactor!$BP$304, IF(AND(AU181&gt;=Deflactor!$BQ$305,AU181&lt;Deflactor!$BQ$306), Deflactor!$BP$305, IF(AND(AU181&gt;=Deflactor!$BQ$306,AU181&lt;Deflactor!$BQ$307), Deflactor!$BP$306, Deflactor!$BP$307) ) ) ) ) ) ) ) ) )</f>
        <v>4</v>
      </c>
    </row>
    <row r="182" spans="1:48" x14ac:dyDescent="0.25">
      <c r="A182" s="3">
        <v>2012</v>
      </c>
      <c r="B182" s="3" t="s">
        <v>251</v>
      </c>
      <c r="C182" s="3" t="s">
        <v>92</v>
      </c>
      <c r="D182" s="3" t="s">
        <v>8</v>
      </c>
      <c r="E182" s="3" t="s">
        <v>51</v>
      </c>
      <c r="F182" s="3" t="s">
        <v>157</v>
      </c>
      <c r="G182" s="3" t="s">
        <v>623</v>
      </c>
      <c r="H182" s="12">
        <v>2009</v>
      </c>
      <c r="I182" s="13" t="s">
        <v>623</v>
      </c>
      <c r="J182" s="10" t="s">
        <v>623</v>
      </c>
      <c r="K182" s="3"/>
      <c r="L182" s="3" t="s">
        <v>1487</v>
      </c>
      <c r="M182" s="3" t="s">
        <v>1488</v>
      </c>
      <c r="N182" s="3" t="s">
        <v>1489</v>
      </c>
      <c r="O182" s="3"/>
      <c r="P182" s="3"/>
      <c r="Q182" s="3"/>
      <c r="R182" s="3" t="s">
        <v>1445</v>
      </c>
      <c r="S182" s="3"/>
      <c r="T182" s="3"/>
      <c r="U182" s="3" t="s">
        <v>1446</v>
      </c>
      <c r="V182" s="3"/>
      <c r="W182" s="10" t="str">
        <f>IF( J182="s.i", "s.i", IF(ISBLANK(J182),"Actualizando información",IFERROR(J182 / VLOOKUP(A182,Deflactor!$G$3:$H$64,2,0),"Revisar error" )))</f>
        <v>s.i</v>
      </c>
      <c r="AR182" s="34">
        <f xml:space="preserve"> 1573969 * 1000</f>
        <v>1573969000</v>
      </c>
      <c r="AT182" s="46">
        <f t="shared" si="5"/>
        <v>1573969000</v>
      </c>
      <c r="AU182" s="54">
        <f xml:space="preserve"> IFERROR(ROUND(AT182 / VLOOKUP(A182,Tabla1[#All],2,0),0),"s.i")</f>
        <v>3233652</v>
      </c>
      <c r="AV182" s="33">
        <f xml:space="preserve"> IF(AU182="s.i", "s.i", IF(AND(AU182&gt;=Deflactor!$BQ$298,AU182&lt;Deflactor!$BQ$299), Deflactor!$BP$298, IF(AND(AU182&gt;=Deflactor!$BQ$299,AU182&lt;Deflactor!$BQ$300), Deflactor!$BP$299, IF(AND(AU182&gt;=Deflactor!$BQ$300,AU182&lt;Deflactor!$BQ$301), Deflactor!$BP$300, IF(AND(AU182&gt;=Deflactor!$BQ$301,AU182&lt;Deflactor!$BQ$302), Deflactor!$BP$301, IF(AND(AU182&gt;=Deflactor!$BQ$302,AU182&lt;Deflactor!$BQ$303), Deflactor!$BP$302, IF(AND(AU182&gt;=Deflactor!$BQ$303,AU182&lt;Deflactor!$BQ$304), Deflactor!$BP$303, IF(AND(AU182&gt;=Deflactor!$BQ$304,AU182&lt;Deflactor!$BQ$305), Deflactor!$BP$304, IF(AND(AU182&gt;=Deflactor!$BQ$305,AU182&lt;Deflactor!$BQ$306), Deflactor!$BP$305, IF(AND(AU182&gt;=Deflactor!$BQ$306,AU182&lt;Deflactor!$BQ$307), Deflactor!$BP$306, Deflactor!$BP$307) ) ) ) ) ) ) ) ) )</f>
        <v>2</v>
      </c>
    </row>
    <row r="183" spans="1:48" x14ac:dyDescent="0.25">
      <c r="A183" s="3">
        <v>2012</v>
      </c>
      <c r="B183" s="3" t="s">
        <v>252</v>
      </c>
      <c r="C183" s="3" t="s">
        <v>92</v>
      </c>
      <c r="D183" s="3" t="s">
        <v>8</v>
      </c>
      <c r="E183" s="3" t="s">
        <v>51</v>
      </c>
      <c r="F183" s="3" t="s">
        <v>157</v>
      </c>
      <c r="G183" s="3" t="s">
        <v>623</v>
      </c>
      <c r="H183" s="12">
        <v>1991</v>
      </c>
      <c r="I183" s="13" t="s">
        <v>623</v>
      </c>
      <c r="J183" s="10" t="s">
        <v>623</v>
      </c>
      <c r="K183" s="3" t="s">
        <v>2302</v>
      </c>
      <c r="L183" s="3" t="s">
        <v>1490</v>
      </c>
      <c r="M183" s="3" t="s">
        <v>1491</v>
      </c>
      <c r="N183" s="3" t="s">
        <v>1492</v>
      </c>
      <c r="O183" s="3" t="s">
        <v>1493</v>
      </c>
      <c r="P183" s="3"/>
      <c r="Q183" s="3"/>
      <c r="R183" s="3" t="s">
        <v>1445</v>
      </c>
      <c r="S183" s="3"/>
      <c r="T183" s="3"/>
      <c r="U183" s="3" t="s">
        <v>252</v>
      </c>
      <c r="V183" s="3"/>
      <c r="W183" s="10" t="str">
        <f>IF( J183="s.i", "s.i", IF(ISBLANK(J183),"Actualizando información",IFERROR(J183 / VLOOKUP(A183,Deflactor!$G$3:$H$64,2,0),"Revisar error" )))</f>
        <v>s.i</v>
      </c>
      <c r="AR183" s="34">
        <f xml:space="preserve"> 12117961 * 1000</f>
        <v>12117961000</v>
      </c>
      <c r="AT183" s="46">
        <f t="shared" si="5"/>
        <v>12117961000</v>
      </c>
      <c r="AU183" s="54">
        <f xml:space="preserve"> IFERROR(ROUND(AT183 / VLOOKUP(A183,Tabla1[#All],2,0),0),"s.i")</f>
        <v>24895833</v>
      </c>
      <c r="AV183" s="33">
        <f xml:space="preserve"> IF(AU183="s.i", "s.i", IF(AND(AU183&gt;=Deflactor!$BQ$298,AU183&lt;Deflactor!$BQ$299), Deflactor!$BP$298, IF(AND(AU183&gt;=Deflactor!$BQ$299,AU183&lt;Deflactor!$BQ$300), Deflactor!$BP$299, IF(AND(AU183&gt;=Deflactor!$BQ$300,AU183&lt;Deflactor!$BQ$301), Deflactor!$BP$300, IF(AND(AU183&gt;=Deflactor!$BQ$301,AU183&lt;Deflactor!$BQ$302), Deflactor!$BP$301, IF(AND(AU183&gt;=Deflactor!$BQ$302,AU183&lt;Deflactor!$BQ$303), Deflactor!$BP$302, IF(AND(AU183&gt;=Deflactor!$BQ$303,AU183&lt;Deflactor!$BQ$304), Deflactor!$BP$303, IF(AND(AU183&gt;=Deflactor!$BQ$304,AU183&lt;Deflactor!$BQ$305), Deflactor!$BP$304, IF(AND(AU183&gt;=Deflactor!$BQ$305,AU183&lt;Deflactor!$BQ$306), Deflactor!$BP$305, IF(AND(AU183&gt;=Deflactor!$BQ$306,AU183&lt;Deflactor!$BQ$307), Deflactor!$BP$306, Deflactor!$BP$307) ) ) ) ) ) ) ) ) )</f>
        <v>7</v>
      </c>
    </row>
    <row r="184" spans="1:48" x14ac:dyDescent="0.25">
      <c r="A184" s="3">
        <v>2012</v>
      </c>
      <c r="B184" s="3" t="s">
        <v>253</v>
      </c>
      <c r="C184" s="3" t="s">
        <v>92</v>
      </c>
      <c r="D184" s="3" t="s">
        <v>8</v>
      </c>
      <c r="E184" s="3" t="s">
        <v>51</v>
      </c>
      <c r="F184" s="3" t="s">
        <v>157</v>
      </c>
      <c r="G184" s="3" t="s">
        <v>623</v>
      </c>
      <c r="H184" s="13" t="s">
        <v>623</v>
      </c>
      <c r="I184" s="13" t="s">
        <v>623</v>
      </c>
      <c r="J184" s="10" t="s">
        <v>623</v>
      </c>
      <c r="K184" s="3" t="s">
        <v>2302</v>
      </c>
      <c r="L184" s="3" t="s">
        <v>1494</v>
      </c>
      <c r="M184" s="3" t="s">
        <v>1495</v>
      </c>
      <c r="N184" s="3" t="s">
        <v>1496</v>
      </c>
      <c r="O184" s="3"/>
      <c r="P184" s="3"/>
      <c r="Q184" s="3"/>
      <c r="R184" s="3" t="s">
        <v>1445</v>
      </c>
      <c r="S184" s="3"/>
      <c r="T184" s="3"/>
      <c r="U184" s="3" t="s">
        <v>1446</v>
      </c>
      <c r="V184" s="3"/>
      <c r="W184" s="10" t="str">
        <f>IF( J184="s.i", "s.i", IF(ISBLANK(J184),"Actualizando información",IFERROR(J184 / VLOOKUP(A184,Deflactor!$G$3:$H$64,2,0),"Revisar error" )))</f>
        <v>s.i</v>
      </c>
      <c r="AR184" s="34">
        <f xml:space="preserve"> (36921991 + 16291636) * 1000</f>
        <v>53213627000</v>
      </c>
      <c r="AT184" s="46">
        <f t="shared" si="5"/>
        <v>53213627000</v>
      </c>
      <c r="AU184" s="54">
        <f xml:space="preserve"> IFERROR(ROUND(AT184 / VLOOKUP(A184,Tabla1[#All],2,0),0),"s.i")</f>
        <v>109325122</v>
      </c>
      <c r="AV184" s="33">
        <f xml:space="preserve"> IF(AU184="s.i", "s.i", IF(AND(AU184&gt;=Deflactor!$BQ$298,AU184&lt;Deflactor!$BQ$299), Deflactor!$BP$298, IF(AND(AU184&gt;=Deflactor!$BQ$299,AU184&lt;Deflactor!$BQ$300), Deflactor!$BP$299, IF(AND(AU184&gt;=Deflactor!$BQ$300,AU184&lt;Deflactor!$BQ$301), Deflactor!$BP$300, IF(AND(AU184&gt;=Deflactor!$BQ$301,AU184&lt;Deflactor!$BQ$302), Deflactor!$BP$301, IF(AND(AU184&gt;=Deflactor!$BQ$302,AU184&lt;Deflactor!$BQ$303), Deflactor!$BP$302, IF(AND(AU184&gt;=Deflactor!$BQ$303,AU184&lt;Deflactor!$BQ$304), Deflactor!$BP$303, IF(AND(AU184&gt;=Deflactor!$BQ$304,AU184&lt;Deflactor!$BQ$305), Deflactor!$BP$304, IF(AND(AU184&gt;=Deflactor!$BQ$305,AU184&lt;Deflactor!$BQ$306), Deflactor!$BP$305, IF(AND(AU184&gt;=Deflactor!$BQ$306,AU184&lt;Deflactor!$BQ$307), Deflactor!$BP$306, Deflactor!$BP$307) ) ) ) ) ) ) ) ) )</f>
        <v>10</v>
      </c>
    </row>
    <row r="185" spans="1:48" x14ac:dyDescent="0.25">
      <c r="A185" s="3">
        <v>2012</v>
      </c>
      <c r="B185" s="3" t="s">
        <v>254</v>
      </c>
      <c r="C185" s="3" t="s">
        <v>92</v>
      </c>
      <c r="D185" s="3" t="s">
        <v>8</v>
      </c>
      <c r="E185" s="3" t="s">
        <v>51</v>
      </c>
      <c r="F185" s="3" t="s">
        <v>157</v>
      </c>
      <c r="G185" s="3" t="s">
        <v>623</v>
      </c>
      <c r="H185" s="12">
        <v>2008</v>
      </c>
      <c r="I185" s="13" t="s">
        <v>623</v>
      </c>
      <c r="J185" s="10" t="s">
        <v>623</v>
      </c>
      <c r="K185" s="3" t="s">
        <v>2304</v>
      </c>
      <c r="L185" s="3" t="s">
        <v>1497</v>
      </c>
      <c r="M185" s="3" t="s">
        <v>1498</v>
      </c>
      <c r="N185" s="3" t="s">
        <v>1499</v>
      </c>
      <c r="O185" s="3" t="s">
        <v>1500</v>
      </c>
      <c r="P185" s="3"/>
      <c r="Q185" s="3"/>
      <c r="R185" s="3" t="s">
        <v>1445</v>
      </c>
      <c r="S185" s="3"/>
      <c r="T185" s="3"/>
      <c r="U185" s="3" t="s">
        <v>1446</v>
      </c>
      <c r="V185" s="3"/>
      <c r="W185" s="10" t="str">
        <f>IF( J185="s.i", "s.i", IF(ISBLANK(J185),"Actualizando información",IFERROR(J185 / VLOOKUP(A185,Deflactor!$G$3:$H$64,2,0),"Revisar error" )))</f>
        <v>s.i</v>
      </c>
      <c r="AR185" s="34">
        <f xml:space="preserve"> (4761492 + 2019538) * 1000</f>
        <v>6781030000</v>
      </c>
      <c r="AT185" s="46">
        <f t="shared" si="5"/>
        <v>6781030000</v>
      </c>
      <c r="AU185" s="54">
        <f xml:space="preserve"> IFERROR(ROUND(AT185 / VLOOKUP(A185,Tabla1[#All],2,0),0),"s.i")</f>
        <v>13931336</v>
      </c>
      <c r="AV185" s="33">
        <f xml:space="preserve"> IF(AU185="s.i", "s.i", IF(AND(AU185&gt;=Deflactor!$BQ$298,AU185&lt;Deflactor!$BQ$299), Deflactor!$BP$298, IF(AND(AU185&gt;=Deflactor!$BQ$299,AU185&lt;Deflactor!$BQ$300), Deflactor!$BP$299, IF(AND(AU185&gt;=Deflactor!$BQ$300,AU185&lt;Deflactor!$BQ$301), Deflactor!$BP$300, IF(AND(AU185&gt;=Deflactor!$BQ$301,AU185&lt;Deflactor!$BQ$302), Deflactor!$BP$301, IF(AND(AU185&gt;=Deflactor!$BQ$302,AU185&lt;Deflactor!$BQ$303), Deflactor!$BP$302, IF(AND(AU185&gt;=Deflactor!$BQ$303,AU185&lt;Deflactor!$BQ$304), Deflactor!$BP$303, IF(AND(AU185&gt;=Deflactor!$BQ$304,AU185&lt;Deflactor!$BQ$305), Deflactor!$BP$304, IF(AND(AU185&gt;=Deflactor!$BQ$305,AU185&lt;Deflactor!$BQ$306), Deflactor!$BP$305, IF(AND(AU185&gt;=Deflactor!$BQ$306,AU185&lt;Deflactor!$BQ$307), Deflactor!$BP$306, Deflactor!$BP$307) ) ) ) ) ) ) ) ) )</f>
        <v>5</v>
      </c>
    </row>
    <row r="186" spans="1:48" x14ac:dyDescent="0.25">
      <c r="A186" s="3">
        <v>2012</v>
      </c>
      <c r="B186" s="3" t="s">
        <v>255</v>
      </c>
      <c r="C186" s="3" t="s">
        <v>92</v>
      </c>
      <c r="D186" s="3" t="s">
        <v>8</v>
      </c>
      <c r="E186" s="3" t="s">
        <v>51</v>
      </c>
      <c r="F186" s="3" t="s">
        <v>157</v>
      </c>
      <c r="G186" s="3" t="s">
        <v>623</v>
      </c>
      <c r="H186" s="12">
        <v>2009</v>
      </c>
      <c r="I186" s="13" t="s">
        <v>623</v>
      </c>
      <c r="J186" s="10" t="s">
        <v>623</v>
      </c>
      <c r="K186" s="3" t="s">
        <v>2305</v>
      </c>
      <c r="L186" s="3" t="s">
        <v>1501</v>
      </c>
      <c r="M186" s="3" t="s">
        <v>1502</v>
      </c>
      <c r="N186" s="3" t="s">
        <v>1503</v>
      </c>
      <c r="O186" s="3" t="s">
        <v>1504</v>
      </c>
      <c r="P186" s="3" t="s">
        <v>1505</v>
      </c>
      <c r="Q186" s="3"/>
      <c r="R186" s="3" t="s">
        <v>1445</v>
      </c>
      <c r="S186" s="3"/>
      <c r="T186" s="3"/>
      <c r="U186" s="3" t="s">
        <v>1446</v>
      </c>
      <c r="V186" s="3" t="s">
        <v>1506</v>
      </c>
      <c r="W186" s="10" t="str">
        <f>IF( J186="s.i", "s.i", IF(ISBLANK(J186),"Actualizando información",IFERROR(J186 / VLOOKUP(A186,Deflactor!$G$3:$H$64,2,0),"Revisar error" )))</f>
        <v>s.i</v>
      </c>
      <c r="AR186" s="34">
        <f xml:space="preserve"> 1100133 * 1000</f>
        <v>1100133000</v>
      </c>
      <c r="AT186" s="46">
        <f t="shared" si="5"/>
        <v>1100133000</v>
      </c>
      <c r="AU186" s="54">
        <f xml:space="preserve"> IFERROR(ROUND(AT186 / VLOOKUP(A186,Tabla1[#All],2,0),0),"s.i")</f>
        <v>2260176</v>
      </c>
      <c r="AV186" s="33">
        <f xml:space="preserve"> IF(AU186="s.i", "s.i", IF(AND(AU186&gt;=Deflactor!$BQ$298,AU186&lt;Deflactor!$BQ$299), Deflactor!$BP$298, IF(AND(AU186&gt;=Deflactor!$BQ$299,AU186&lt;Deflactor!$BQ$300), Deflactor!$BP$299, IF(AND(AU186&gt;=Deflactor!$BQ$300,AU186&lt;Deflactor!$BQ$301), Deflactor!$BP$300, IF(AND(AU186&gt;=Deflactor!$BQ$301,AU186&lt;Deflactor!$BQ$302), Deflactor!$BP$301, IF(AND(AU186&gt;=Deflactor!$BQ$302,AU186&lt;Deflactor!$BQ$303), Deflactor!$BP$302, IF(AND(AU186&gt;=Deflactor!$BQ$303,AU186&lt;Deflactor!$BQ$304), Deflactor!$BP$303, IF(AND(AU186&gt;=Deflactor!$BQ$304,AU186&lt;Deflactor!$BQ$305), Deflactor!$BP$304, IF(AND(AU186&gt;=Deflactor!$BQ$305,AU186&lt;Deflactor!$BQ$306), Deflactor!$BP$305, IF(AND(AU186&gt;=Deflactor!$BQ$306,AU186&lt;Deflactor!$BQ$307), Deflactor!$BP$306, Deflactor!$BP$307) ) ) ) ) ) ) ) ) )</f>
        <v>2</v>
      </c>
    </row>
    <row r="187" spans="1:48" x14ac:dyDescent="0.25">
      <c r="A187" s="3">
        <v>2012</v>
      </c>
      <c r="B187" s="3" t="s">
        <v>256</v>
      </c>
      <c r="C187" s="3" t="s">
        <v>92</v>
      </c>
      <c r="D187" s="3" t="s">
        <v>8</v>
      </c>
      <c r="E187" s="3" t="s">
        <v>51</v>
      </c>
      <c r="F187" s="3" t="s">
        <v>157</v>
      </c>
      <c r="G187" s="3" t="s">
        <v>623</v>
      </c>
      <c r="H187" s="12">
        <v>2010</v>
      </c>
      <c r="I187" s="13" t="s">
        <v>623</v>
      </c>
      <c r="J187" s="10" t="s">
        <v>623</v>
      </c>
      <c r="K187" s="3" t="s">
        <v>2306</v>
      </c>
      <c r="L187" s="3" t="s">
        <v>1507</v>
      </c>
      <c r="M187" s="3" t="s">
        <v>1508</v>
      </c>
      <c r="N187" s="3" t="s">
        <v>1509</v>
      </c>
      <c r="O187" s="3" t="s">
        <v>1510</v>
      </c>
      <c r="P187" s="3" t="s">
        <v>1511</v>
      </c>
      <c r="Q187" s="3"/>
      <c r="R187" s="3" t="s">
        <v>1445</v>
      </c>
      <c r="S187" s="3"/>
      <c r="T187" s="3"/>
      <c r="U187" s="3" t="s">
        <v>1446</v>
      </c>
      <c r="V187" s="3"/>
      <c r="W187" s="10" t="str">
        <f>IF( J187="s.i", "s.i", IF(ISBLANK(J187),"Actualizando información",IFERROR(J187 / VLOOKUP(A187,Deflactor!$G$3:$H$64,2,0),"Revisar error" )))</f>
        <v>s.i</v>
      </c>
      <c r="AR187" s="34">
        <f xml:space="preserve"> (7265706 + 4354755) * 1000</f>
        <v>11620461000</v>
      </c>
      <c r="AT187" s="46">
        <f t="shared" si="5"/>
        <v>11620461000</v>
      </c>
      <c r="AU187" s="54">
        <f xml:space="preserve"> IFERROR(ROUND(AT187 / VLOOKUP(A187,Tabla1[#All],2,0),0),"s.i")</f>
        <v>23873740</v>
      </c>
      <c r="AV187" s="33">
        <f xml:space="preserve"> IF(AU187="s.i", "s.i", IF(AND(AU187&gt;=Deflactor!$BQ$298,AU187&lt;Deflactor!$BQ$299), Deflactor!$BP$298, IF(AND(AU187&gt;=Deflactor!$BQ$299,AU187&lt;Deflactor!$BQ$300), Deflactor!$BP$299, IF(AND(AU187&gt;=Deflactor!$BQ$300,AU187&lt;Deflactor!$BQ$301), Deflactor!$BP$300, IF(AND(AU187&gt;=Deflactor!$BQ$301,AU187&lt;Deflactor!$BQ$302), Deflactor!$BP$301, IF(AND(AU187&gt;=Deflactor!$BQ$302,AU187&lt;Deflactor!$BQ$303), Deflactor!$BP$302, IF(AND(AU187&gt;=Deflactor!$BQ$303,AU187&lt;Deflactor!$BQ$304), Deflactor!$BP$303, IF(AND(AU187&gt;=Deflactor!$BQ$304,AU187&lt;Deflactor!$BQ$305), Deflactor!$BP$304, IF(AND(AU187&gt;=Deflactor!$BQ$305,AU187&lt;Deflactor!$BQ$306), Deflactor!$BP$305, IF(AND(AU187&gt;=Deflactor!$BQ$306,AU187&lt;Deflactor!$BQ$307), Deflactor!$BP$306, Deflactor!$BP$307) ) ) ) ) ) ) ) ) )</f>
        <v>7</v>
      </c>
    </row>
    <row r="188" spans="1:48" x14ac:dyDescent="0.25">
      <c r="A188" s="3">
        <v>2012</v>
      </c>
      <c r="B188" s="3" t="s">
        <v>257</v>
      </c>
      <c r="C188" s="3" t="s">
        <v>92</v>
      </c>
      <c r="D188" s="3" t="s">
        <v>8</v>
      </c>
      <c r="E188" s="3" t="s">
        <v>51</v>
      </c>
      <c r="F188" s="3" t="s">
        <v>157</v>
      </c>
      <c r="G188" s="3" t="s">
        <v>623</v>
      </c>
      <c r="H188" s="12">
        <v>1992</v>
      </c>
      <c r="I188" s="13" t="s">
        <v>623</v>
      </c>
      <c r="J188" s="10" t="s">
        <v>623</v>
      </c>
      <c r="K188" s="3" t="s">
        <v>2307</v>
      </c>
      <c r="L188" s="3" t="s">
        <v>1512</v>
      </c>
      <c r="M188" s="3" t="s">
        <v>1513</v>
      </c>
      <c r="N188" s="3" t="s">
        <v>1514</v>
      </c>
      <c r="O188" s="3" t="s">
        <v>1515</v>
      </c>
      <c r="P188" s="3"/>
      <c r="Q188" s="3"/>
      <c r="R188" s="3" t="s">
        <v>1445</v>
      </c>
      <c r="S188" s="3"/>
      <c r="T188" s="3"/>
      <c r="U188" s="3" t="s">
        <v>1446</v>
      </c>
      <c r="V188" s="3"/>
      <c r="W188" s="10" t="str">
        <f>IF( J188="s.i", "s.i", IF(ISBLANK(J188),"Actualizando información",IFERROR(J188 / VLOOKUP(A188,Deflactor!$G$3:$H$64,2,0),"Revisar error" )))</f>
        <v>s.i</v>
      </c>
      <c r="AR188" s="34">
        <f xml:space="preserve"> (1289112 + 327714) * 1000</f>
        <v>1616826000</v>
      </c>
      <c r="AT188" s="46">
        <f t="shared" si="5"/>
        <v>1616826000</v>
      </c>
      <c r="AU188" s="54">
        <f xml:space="preserve"> IFERROR(ROUND(AT188 / VLOOKUP(A188,Tabla1[#All],2,0),0),"s.i")</f>
        <v>3321700</v>
      </c>
      <c r="AV188" s="33">
        <f xml:space="preserve"> IF(AU188="s.i", "s.i", IF(AND(AU188&gt;=Deflactor!$BQ$298,AU188&lt;Deflactor!$BQ$299), Deflactor!$BP$298, IF(AND(AU188&gt;=Deflactor!$BQ$299,AU188&lt;Deflactor!$BQ$300), Deflactor!$BP$299, IF(AND(AU188&gt;=Deflactor!$BQ$300,AU188&lt;Deflactor!$BQ$301), Deflactor!$BP$300, IF(AND(AU188&gt;=Deflactor!$BQ$301,AU188&lt;Deflactor!$BQ$302), Deflactor!$BP$301, IF(AND(AU188&gt;=Deflactor!$BQ$302,AU188&lt;Deflactor!$BQ$303), Deflactor!$BP$302, IF(AND(AU188&gt;=Deflactor!$BQ$303,AU188&lt;Deflactor!$BQ$304), Deflactor!$BP$303, IF(AND(AU188&gt;=Deflactor!$BQ$304,AU188&lt;Deflactor!$BQ$305), Deflactor!$BP$304, IF(AND(AU188&gt;=Deflactor!$BQ$305,AU188&lt;Deflactor!$BQ$306), Deflactor!$BP$305, IF(AND(AU188&gt;=Deflactor!$BQ$306,AU188&lt;Deflactor!$BQ$307), Deflactor!$BP$306, Deflactor!$BP$307) ) ) ) ) ) ) ) ) )</f>
        <v>2</v>
      </c>
    </row>
    <row r="189" spans="1:48" x14ac:dyDescent="0.25">
      <c r="A189" s="3">
        <v>2012</v>
      </c>
      <c r="B189" s="3" t="s">
        <v>258</v>
      </c>
      <c r="C189" s="3" t="s">
        <v>92</v>
      </c>
      <c r="D189" s="3" t="s">
        <v>8</v>
      </c>
      <c r="E189" s="3" t="s">
        <v>51</v>
      </c>
      <c r="F189" s="3" t="s">
        <v>157</v>
      </c>
      <c r="G189" s="3" t="s">
        <v>903</v>
      </c>
      <c r="H189" s="12">
        <v>2002</v>
      </c>
      <c r="I189" s="13" t="s">
        <v>623</v>
      </c>
      <c r="J189" s="10" t="s">
        <v>623</v>
      </c>
      <c r="K189" s="3" t="s">
        <v>2303</v>
      </c>
      <c r="L189" s="3" t="s">
        <v>1516</v>
      </c>
      <c r="M189" s="3" t="s">
        <v>1517</v>
      </c>
      <c r="N189" s="3" t="s">
        <v>1518</v>
      </c>
      <c r="O189" s="3" t="s">
        <v>1519</v>
      </c>
      <c r="P189" s="3" t="s">
        <v>1511</v>
      </c>
      <c r="Q189" s="14" t="s">
        <v>1520</v>
      </c>
      <c r="R189" s="3" t="s">
        <v>1445</v>
      </c>
      <c r="S189" s="3"/>
      <c r="T189" s="3"/>
      <c r="U189" s="3" t="s">
        <v>1146</v>
      </c>
      <c r="V189" s="3"/>
      <c r="W189" s="10" t="str">
        <f>IF( J189="s.i", "s.i", IF(ISBLANK(J189),"Actualizando información",IFERROR(J189 / VLOOKUP(A189,Deflactor!$G$3:$H$64,2,0),"Revisar error" )))</f>
        <v>s.i</v>
      </c>
      <c r="AR189" s="34">
        <f xml:space="preserve"> (15597227 + 7331170) * 1000</f>
        <v>22928397000</v>
      </c>
      <c r="AT189" s="46">
        <f t="shared" si="5"/>
        <v>22928397000</v>
      </c>
      <c r="AU189" s="54">
        <f xml:space="preserve"> IFERROR(ROUND(AT189 / VLOOKUP(A189,Tabla1[#All],2,0),0),"s.i")</f>
        <v>47105412</v>
      </c>
      <c r="AV189" s="33">
        <f xml:space="preserve"> IF(AU189="s.i", "s.i", IF(AND(AU189&gt;=Deflactor!$BQ$298,AU189&lt;Deflactor!$BQ$299), Deflactor!$BP$298, IF(AND(AU189&gt;=Deflactor!$BQ$299,AU189&lt;Deflactor!$BQ$300), Deflactor!$BP$299, IF(AND(AU189&gt;=Deflactor!$BQ$300,AU189&lt;Deflactor!$BQ$301), Deflactor!$BP$300, IF(AND(AU189&gt;=Deflactor!$BQ$301,AU189&lt;Deflactor!$BQ$302), Deflactor!$BP$301, IF(AND(AU189&gt;=Deflactor!$BQ$302,AU189&lt;Deflactor!$BQ$303), Deflactor!$BP$302, IF(AND(AU189&gt;=Deflactor!$BQ$303,AU189&lt;Deflactor!$BQ$304), Deflactor!$BP$303, IF(AND(AU189&gt;=Deflactor!$BQ$304,AU189&lt;Deflactor!$BQ$305), Deflactor!$BP$304, IF(AND(AU189&gt;=Deflactor!$BQ$305,AU189&lt;Deflactor!$BQ$306), Deflactor!$BP$305, IF(AND(AU189&gt;=Deflactor!$BQ$306,AU189&lt;Deflactor!$BQ$307), Deflactor!$BP$306, Deflactor!$BP$307) ) ) ) ) ) ) ) ) )</f>
        <v>8</v>
      </c>
    </row>
    <row r="190" spans="1:48" x14ac:dyDescent="0.25">
      <c r="A190" s="3">
        <v>2012</v>
      </c>
      <c r="B190" s="3" t="s">
        <v>259</v>
      </c>
      <c r="C190" s="3" t="s">
        <v>92</v>
      </c>
      <c r="D190" s="3" t="s">
        <v>8</v>
      </c>
      <c r="E190" s="3" t="s">
        <v>51</v>
      </c>
      <c r="F190" s="3" t="s">
        <v>157</v>
      </c>
      <c r="G190" s="3" t="s">
        <v>623</v>
      </c>
      <c r="H190" s="12">
        <v>2011</v>
      </c>
      <c r="I190" s="13" t="s">
        <v>623</v>
      </c>
      <c r="J190" s="10" t="s">
        <v>623</v>
      </c>
      <c r="K190" s="3"/>
      <c r="L190" s="3" t="s">
        <v>1521</v>
      </c>
      <c r="M190" s="3" t="s">
        <v>1522</v>
      </c>
      <c r="N190" s="3" t="s">
        <v>1523</v>
      </c>
      <c r="O190" s="3" t="s">
        <v>1524</v>
      </c>
      <c r="P190" s="3" t="s">
        <v>1525</v>
      </c>
      <c r="Q190" s="3"/>
      <c r="R190" s="3"/>
      <c r="S190" s="3"/>
      <c r="T190" s="3"/>
      <c r="U190" s="3" t="s">
        <v>1446</v>
      </c>
      <c r="V190" s="3"/>
      <c r="W190" s="10" t="str">
        <f>IF( J190="s.i", "s.i", IF(ISBLANK(J190),"Actualizando información",IFERROR(J190 / VLOOKUP(A190,Deflactor!$G$3:$H$64,2,0),"Revisar error" )))</f>
        <v>s.i</v>
      </c>
      <c r="AR190" s="34">
        <f xml:space="preserve"> 1286606 * 1000</f>
        <v>1286606000</v>
      </c>
      <c r="AT190" s="46">
        <f t="shared" si="5"/>
        <v>1286606000</v>
      </c>
      <c r="AU190" s="54">
        <f xml:space="preserve"> IFERROR(ROUND(AT190 / VLOOKUP(A190,Tabla1[#All],2,0),0),"s.i")</f>
        <v>2643277</v>
      </c>
      <c r="AV190" s="33">
        <f xml:space="preserve"> IF(AU190="s.i", "s.i", IF(AND(AU190&gt;=Deflactor!$BQ$298,AU190&lt;Deflactor!$BQ$299), Deflactor!$BP$298, IF(AND(AU190&gt;=Deflactor!$BQ$299,AU190&lt;Deflactor!$BQ$300), Deflactor!$BP$299, IF(AND(AU190&gt;=Deflactor!$BQ$300,AU190&lt;Deflactor!$BQ$301), Deflactor!$BP$300, IF(AND(AU190&gt;=Deflactor!$BQ$301,AU190&lt;Deflactor!$BQ$302), Deflactor!$BP$301, IF(AND(AU190&gt;=Deflactor!$BQ$302,AU190&lt;Deflactor!$BQ$303), Deflactor!$BP$302, IF(AND(AU190&gt;=Deflactor!$BQ$303,AU190&lt;Deflactor!$BQ$304), Deflactor!$BP$303, IF(AND(AU190&gt;=Deflactor!$BQ$304,AU190&lt;Deflactor!$BQ$305), Deflactor!$BP$304, IF(AND(AU190&gt;=Deflactor!$BQ$305,AU190&lt;Deflactor!$BQ$306), Deflactor!$BP$305, IF(AND(AU190&gt;=Deflactor!$BQ$306,AU190&lt;Deflactor!$BQ$307), Deflactor!$BP$306, Deflactor!$BP$307) ) ) ) ) ) ) ) ) )</f>
        <v>2</v>
      </c>
    </row>
    <row r="191" spans="1:48" x14ac:dyDescent="0.25">
      <c r="A191" s="3">
        <v>2012</v>
      </c>
      <c r="B191" s="3" t="s">
        <v>260</v>
      </c>
      <c r="C191" s="3" t="s">
        <v>92</v>
      </c>
      <c r="D191" s="3" t="s">
        <v>8</v>
      </c>
      <c r="E191" s="3" t="s">
        <v>51</v>
      </c>
      <c r="F191" s="3" t="s">
        <v>157</v>
      </c>
      <c r="G191" s="3" t="s">
        <v>623</v>
      </c>
      <c r="H191" s="12">
        <v>2003</v>
      </c>
      <c r="I191" s="13" t="s">
        <v>623</v>
      </c>
      <c r="J191" s="10" t="s">
        <v>623</v>
      </c>
      <c r="K191" s="3" t="s">
        <v>2303</v>
      </c>
      <c r="L191" s="3" t="s">
        <v>1526</v>
      </c>
      <c r="M191" s="15" t="s">
        <v>1527</v>
      </c>
      <c r="N191" s="3" t="s">
        <v>1528</v>
      </c>
      <c r="O191" s="3" t="s">
        <v>1529</v>
      </c>
      <c r="P191" s="3" t="s">
        <v>1530</v>
      </c>
      <c r="Q191" s="3"/>
      <c r="R191" s="3" t="s">
        <v>1445</v>
      </c>
      <c r="S191" s="3"/>
      <c r="T191" s="3"/>
      <c r="U191" s="3" t="s">
        <v>1446</v>
      </c>
      <c r="V191" s="3"/>
      <c r="W191" s="10" t="str">
        <f>IF( J191="s.i", "s.i", IF(ISBLANK(J191),"Actualizando información",IFERROR(J191 / VLOOKUP(A191,Deflactor!$G$3:$H$64,2,0),"Revisar error" )))</f>
        <v>s.i</v>
      </c>
      <c r="AR191" s="34">
        <f xml:space="preserve"> 9813718 * 1000</f>
        <v>9813718000</v>
      </c>
      <c r="AT191" s="46">
        <f t="shared" si="5"/>
        <v>9813718000</v>
      </c>
      <c r="AU191" s="54">
        <f xml:space="preserve"> IFERROR(ROUND(AT191 / VLOOKUP(A191,Tabla1[#All],2,0),0),"s.i")</f>
        <v>20161864</v>
      </c>
      <c r="AV191" s="33">
        <f xml:space="preserve"> IF(AU191="s.i", "s.i", IF(AND(AU191&gt;=Deflactor!$BQ$298,AU191&lt;Deflactor!$BQ$299), Deflactor!$BP$298, IF(AND(AU191&gt;=Deflactor!$BQ$299,AU191&lt;Deflactor!$BQ$300), Deflactor!$BP$299, IF(AND(AU191&gt;=Deflactor!$BQ$300,AU191&lt;Deflactor!$BQ$301), Deflactor!$BP$300, IF(AND(AU191&gt;=Deflactor!$BQ$301,AU191&lt;Deflactor!$BQ$302), Deflactor!$BP$301, IF(AND(AU191&gt;=Deflactor!$BQ$302,AU191&lt;Deflactor!$BQ$303), Deflactor!$BP$302, IF(AND(AU191&gt;=Deflactor!$BQ$303,AU191&lt;Deflactor!$BQ$304), Deflactor!$BP$303, IF(AND(AU191&gt;=Deflactor!$BQ$304,AU191&lt;Deflactor!$BQ$305), Deflactor!$BP$304, IF(AND(AU191&gt;=Deflactor!$BQ$305,AU191&lt;Deflactor!$BQ$306), Deflactor!$BP$305, IF(AND(AU191&gt;=Deflactor!$BQ$306,AU191&lt;Deflactor!$BQ$307), Deflactor!$BP$306, Deflactor!$BP$307) ) ) ) ) ) ) ) ) )</f>
        <v>7</v>
      </c>
    </row>
    <row r="192" spans="1:48" x14ac:dyDescent="0.25">
      <c r="A192" s="3">
        <v>2012</v>
      </c>
      <c r="B192" s="3" t="s">
        <v>261</v>
      </c>
      <c r="C192" s="3" t="s">
        <v>7</v>
      </c>
      <c r="D192" s="3" t="s">
        <v>64</v>
      </c>
      <c r="E192" s="3" t="s">
        <v>262</v>
      </c>
      <c r="F192" s="3" t="s">
        <v>89</v>
      </c>
      <c r="G192" s="3" t="s">
        <v>723</v>
      </c>
      <c r="H192" s="12">
        <v>2009</v>
      </c>
      <c r="I192" s="13" t="s">
        <v>623</v>
      </c>
      <c r="J192" s="10">
        <f xml:space="preserve"> 1713932000 * 1000000</f>
        <v>1713932000000000</v>
      </c>
      <c r="K192" s="3"/>
      <c r="L192" s="3" t="s">
        <v>1531</v>
      </c>
      <c r="M192" s="3" t="s">
        <v>1532</v>
      </c>
      <c r="N192" s="3" t="s">
        <v>1533</v>
      </c>
      <c r="O192" s="3"/>
      <c r="P192" s="3"/>
      <c r="Q192" s="3"/>
      <c r="R192" s="3" t="s">
        <v>1534</v>
      </c>
      <c r="S192" s="3" t="s">
        <v>1535</v>
      </c>
      <c r="T192" s="3"/>
      <c r="U192" s="3"/>
      <c r="V192" s="3"/>
      <c r="W192" s="10">
        <f>IF( J192="s.i", "s.i", IF(ISBLANK(J192),"Actualizando información",IFERROR(J192 / VLOOKUP(A192,Deflactor!$G$3:$H$64,2,0),"Revisar error" )))</f>
        <v>1747810355751905.5</v>
      </c>
      <c r="AR192" s="34">
        <f xml:space="preserve"> (1420550 + 194489) * 1000</f>
        <v>1615039000</v>
      </c>
      <c r="AT192" s="46">
        <f t="shared" si="5"/>
        <v>1615039000</v>
      </c>
      <c r="AU192" s="54">
        <f xml:space="preserve"> IFERROR(ROUND(AT192 / VLOOKUP(A192,Tabla1[#All],2,0),0),"s.i")</f>
        <v>3318029</v>
      </c>
      <c r="AV192" s="33">
        <f xml:space="preserve"> IF(AU192="s.i", "s.i", IF(AND(AU192&gt;=Deflactor!$BQ$298,AU192&lt;Deflactor!$BQ$299), Deflactor!$BP$298, IF(AND(AU192&gt;=Deflactor!$BQ$299,AU192&lt;Deflactor!$BQ$300), Deflactor!$BP$299, IF(AND(AU192&gt;=Deflactor!$BQ$300,AU192&lt;Deflactor!$BQ$301), Deflactor!$BP$300, IF(AND(AU192&gt;=Deflactor!$BQ$301,AU192&lt;Deflactor!$BQ$302), Deflactor!$BP$301, IF(AND(AU192&gt;=Deflactor!$BQ$302,AU192&lt;Deflactor!$BQ$303), Deflactor!$BP$302, IF(AND(AU192&gt;=Deflactor!$BQ$303,AU192&lt;Deflactor!$BQ$304), Deflactor!$BP$303, IF(AND(AU192&gt;=Deflactor!$BQ$304,AU192&lt;Deflactor!$BQ$305), Deflactor!$BP$304, IF(AND(AU192&gt;=Deflactor!$BQ$305,AU192&lt;Deflactor!$BQ$306), Deflactor!$BP$305, IF(AND(AU192&gt;=Deflactor!$BQ$306,AU192&lt;Deflactor!$BQ$307), Deflactor!$BP$306, Deflactor!$BP$307) ) ) ) ) ) ) ) ) )</f>
        <v>2</v>
      </c>
    </row>
    <row r="193" spans="1:48" x14ac:dyDescent="0.25">
      <c r="A193" s="3">
        <v>2012</v>
      </c>
      <c r="B193" s="3" t="s">
        <v>263</v>
      </c>
      <c r="C193" s="3" t="s">
        <v>7</v>
      </c>
      <c r="D193" s="3" t="s">
        <v>8</v>
      </c>
      <c r="E193" s="3" t="s">
        <v>264</v>
      </c>
      <c r="F193" s="3" t="s">
        <v>89</v>
      </c>
      <c r="G193" s="3" t="s">
        <v>723</v>
      </c>
      <c r="H193" s="12">
        <v>2000</v>
      </c>
      <c r="I193" s="13" t="s">
        <v>623</v>
      </c>
      <c r="J193" s="10">
        <f xml:space="preserve"> 4616949 * 1000</f>
        <v>4616949000</v>
      </c>
      <c r="K193" s="3"/>
      <c r="L193" s="3" t="s">
        <v>1536</v>
      </c>
      <c r="M193" s="3" t="s">
        <v>1537</v>
      </c>
      <c r="N193" s="3" t="s">
        <v>1538</v>
      </c>
      <c r="O193" s="3" t="s">
        <v>1539</v>
      </c>
      <c r="P193" s="3"/>
      <c r="Q193" s="3"/>
      <c r="R193" s="3" t="s">
        <v>1540</v>
      </c>
      <c r="S193" s="3" t="s">
        <v>1541</v>
      </c>
      <c r="T193" s="3"/>
      <c r="U193" s="3"/>
      <c r="V193" s="3"/>
      <c r="W193" s="10">
        <f>IF( J193="s.i", "s.i", IF(ISBLANK(J193),"Actualizando información",IFERROR(J193 / VLOOKUP(A193,Deflactor!$G$3:$H$64,2,0),"Revisar error" )))</f>
        <v>4708209703.8729677</v>
      </c>
      <c r="AR193" s="10">
        <f xml:space="preserve"> 4570949 * 1000</f>
        <v>4570949000</v>
      </c>
      <c r="AT193" s="46">
        <f t="shared" si="5"/>
        <v>4570949000</v>
      </c>
      <c r="AU193" s="54">
        <f xml:space="preserve"> IFERROR(ROUND(AT193 / VLOOKUP(A193,Tabla1[#All],2,0),0),"s.i")</f>
        <v>9390819</v>
      </c>
      <c r="AV193" s="33">
        <f xml:space="preserve"> IF(AU193="s.i", "s.i", IF(AND(AU193&gt;=Deflactor!$BQ$298,AU193&lt;Deflactor!$BQ$299), Deflactor!$BP$298, IF(AND(AU193&gt;=Deflactor!$BQ$299,AU193&lt;Deflactor!$BQ$300), Deflactor!$BP$299, IF(AND(AU193&gt;=Deflactor!$BQ$300,AU193&lt;Deflactor!$BQ$301), Deflactor!$BP$300, IF(AND(AU193&gt;=Deflactor!$BQ$301,AU193&lt;Deflactor!$BQ$302), Deflactor!$BP$301, IF(AND(AU193&gt;=Deflactor!$BQ$302,AU193&lt;Deflactor!$BQ$303), Deflactor!$BP$302, IF(AND(AU193&gt;=Deflactor!$BQ$303,AU193&lt;Deflactor!$BQ$304), Deflactor!$BP$303, IF(AND(AU193&gt;=Deflactor!$BQ$304,AU193&lt;Deflactor!$BQ$305), Deflactor!$BP$304, IF(AND(AU193&gt;=Deflactor!$BQ$305,AU193&lt;Deflactor!$BQ$306), Deflactor!$BP$305, IF(AND(AU193&gt;=Deflactor!$BQ$306,AU193&lt;Deflactor!$BQ$307), Deflactor!$BP$306, Deflactor!$BP$307) ) ) ) ) ) ) ) ) )</f>
        <v>4</v>
      </c>
    </row>
    <row r="194" spans="1:48" x14ac:dyDescent="0.25">
      <c r="A194" s="3">
        <v>2012</v>
      </c>
      <c r="B194" s="3" t="s">
        <v>265</v>
      </c>
      <c r="C194" s="3" t="s">
        <v>7</v>
      </c>
      <c r="D194" s="3" t="s">
        <v>40</v>
      </c>
      <c r="E194" s="3" t="s">
        <v>41</v>
      </c>
      <c r="F194" s="3" t="s">
        <v>89</v>
      </c>
      <c r="G194" s="3" t="s">
        <v>623</v>
      </c>
      <c r="H194" s="12">
        <v>2008</v>
      </c>
      <c r="I194" s="13" t="s">
        <v>623</v>
      </c>
      <c r="J194" s="10">
        <f xml:space="preserve"> 14778 * 1000000</f>
        <v>14778000000</v>
      </c>
      <c r="K194" s="3" t="s">
        <v>2282</v>
      </c>
      <c r="L194" s="3" t="s">
        <v>1542</v>
      </c>
      <c r="M194" s="3" t="s">
        <v>1543</v>
      </c>
      <c r="N194" s="3" t="s">
        <v>1544</v>
      </c>
      <c r="O194" s="3" t="s">
        <v>1545</v>
      </c>
      <c r="P194" s="3"/>
      <c r="Q194" s="3"/>
      <c r="R194" s="3" t="s">
        <v>1546</v>
      </c>
      <c r="S194" s="3" t="s">
        <v>1547</v>
      </c>
      <c r="T194" s="3"/>
      <c r="U194" s="3"/>
      <c r="V194" s="3"/>
      <c r="W194" s="10">
        <f>IF( J194="s.i", "s.i", IF(ISBLANK(J194),"Actualizando información",IFERROR(J194 / VLOOKUP(A194,Deflactor!$G$3:$H$64,2,0),"Revisar error" )))</f>
        <v>15070108637.508173</v>
      </c>
      <c r="AR194" s="10">
        <f xml:space="preserve"> 7607946 * 1000</f>
        <v>7607946000</v>
      </c>
      <c r="AT194" s="46">
        <f t="shared" si="5"/>
        <v>7607946000</v>
      </c>
      <c r="AU194" s="54">
        <f xml:space="preserve"> IFERROR(ROUND(AT194 / VLOOKUP(A194,Tabla1[#All],2,0),0),"s.i")</f>
        <v>15630200</v>
      </c>
      <c r="AV194" s="33">
        <f xml:space="preserve"> IF(AU194="s.i", "s.i", IF(AND(AU194&gt;=Deflactor!$BQ$298,AU194&lt;Deflactor!$BQ$299), Deflactor!$BP$298, IF(AND(AU194&gt;=Deflactor!$BQ$299,AU194&lt;Deflactor!$BQ$300), Deflactor!$BP$299, IF(AND(AU194&gt;=Deflactor!$BQ$300,AU194&lt;Deflactor!$BQ$301), Deflactor!$BP$300, IF(AND(AU194&gt;=Deflactor!$BQ$301,AU194&lt;Deflactor!$BQ$302), Deflactor!$BP$301, IF(AND(AU194&gt;=Deflactor!$BQ$302,AU194&lt;Deflactor!$BQ$303), Deflactor!$BP$302, IF(AND(AU194&gt;=Deflactor!$BQ$303,AU194&lt;Deflactor!$BQ$304), Deflactor!$BP$303, IF(AND(AU194&gt;=Deflactor!$BQ$304,AU194&lt;Deflactor!$BQ$305), Deflactor!$BP$304, IF(AND(AU194&gt;=Deflactor!$BQ$305,AU194&lt;Deflactor!$BQ$306), Deflactor!$BP$305, IF(AND(AU194&gt;=Deflactor!$BQ$306,AU194&lt;Deflactor!$BQ$307), Deflactor!$BP$306, Deflactor!$BP$307) ) ) ) ) ) ) ) ) )</f>
        <v>6</v>
      </c>
    </row>
    <row r="195" spans="1:48" x14ac:dyDescent="0.25">
      <c r="A195" s="3">
        <v>2012</v>
      </c>
      <c r="B195" s="3" t="s">
        <v>266</v>
      </c>
      <c r="C195" s="3" t="s">
        <v>7</v>
      </c>
      <c r="D195" s="3" t="s">
        <v>40</v>
      </c>
      <c r="E195" s="3" t="s">
        <v>41</v>
      </c>
      <c r="F195" s="3" t="s">
        <v>89</v>
      </c>
      <c r="G195" s="3" t="s">
        <v>623</v>
      </c>
      <c r="H195" s="12">
        <v>2008</v>
      </c>
      <c r="I195" s="13" t="s">
        <v>623</v>
      </c>
      <c r="J195" s="10">
        <f t="shared" ref="J195:J199" si="7" xml:space="preserve"> 14778 * 1000000</f>
        <v>14778000000</v>
      </c>
      <c r="K195" s="3" t="s">
        <v>2282</v>
      </c>
      <c r="L195" s="3" t="s">
        <v>1542</v>
      </c>
      <c r="M195" s="3" t="s">
        <v>1543</v>
      </c>
      <c r="N195" s="3" t="s">
        <v>1544</v>
      </c>
      <c r="O195" s="3" t="s">
        <v>1545</v>
      </c>
      <c r="P195" s="3"/>
      <c r="Q195" s="3"/>
      <c r="R195" s="3" t="s">
        <v>1546</v>
      </c>
      <c r="S195" s="3" t="s">
        <v>1547</v>
      </c>
      <c r="T195" s="3"/>
      <c r="U195" s="3"/>
      <c r="V195" s="3"/>
      <c r="W195" s="10">
        <f>IF( J195="s.i", "s.i", IF(ISBLANK(J195),"Actualizando información",IFERROR(J195 / VLOOKUP(A195,Deflactor!$G$3:$H$64,2,0),"Revisar error" )))</f>
        <v>15070108637.508173</v>
      </c>
      <c r="AR195" s="10">
        <f t="shared" ref="AR195:AR199" si="8" xml:space="preserve"> 7607946 * 1000</f>
        <v>7607946000</v>
      </c>
      <c r="AT195" s="46">
        <f t="shared" ref="AT195:AT257" si="9">AR195</f>
        <v>7607946000</v>
      </c>
      <c r="AU195" s="54">
        <f xml:space="preserve"> IFERROR(ROUND(AT195 / VLOOKUP(A195,Tabla1[#All],2,0),0),"s.i")</f>
        <v>15630200</v>
      </c>
      <c r="AV195" s="33">
        <f xml:space="preserve"> IF(AU195="s.i", "s.i", IF(AND(AU195&gt;=Deflactor!$BQ$298,AU195&lt;Deflactor!$BQ$299), Deflactor!$BP$298, IF(AND(AU195&gt;=Deflactor!$BQ$299,AU195&lt;Deflactor!$BQ$300), Deflactor!$BP$299, IF(AND(AU195&gt;=Deflactor!$BQ$300,AU195&lt;Deflactor!$BQ$301), Deflactor!$BP$300, IF(AND(AU195&gt;=Deflactor!$BQ$301,AU195&lt;Deflactor!$BQ$302), Deflactor!$BP$301, IF(AND(AU195&gt;=Deflactor!$BQ$302,AU195&lt;Deflactor!$BQ$303), Deflactor!$BP$302, IF(AND(AU195&gt;=Deflactor!$BQ$303,AU195&lt;Deflactor!$BQ$304), Deflactor!$BP$303, IF(AND(AU195&gt;=Deflactor!$BQ$304,AU195&lt;Deflactor!$BQ$305), Deflactor!$BP$304, IF(AND(AU195&gt;=Deflactor!$BQ$305,AU195&lt;Deflactor!$BQ$306), Deflactor!$BP$305, IF(AND(AU195&gt;=Deflactor!$BQ$306,AU195&lt;Deflactor!$BQ$307), Deflactor!$BP$306, Deflactor!$BP$307) ) ) ) ) ) ) ) ) )</f>
        <v>6</v>
      </c>
    </row>
    <row r="196" spans="1:48" x14ac:dyDescent="0.25">
      <c r="A196" s="3">
        <v>2012</v>
      </c>
      <c r="B196" s="3" t="s">
        <v>267</v>
      </c>
      <c r="C196" s="3" t="s">
        <v>7</v>
      </c>
      <c r="D196" s="3" t="s">
        <v>40</v>
      </c>
      <c r="E196" s="3" t="s">
        <v>41</v>
      </c>
      <c r="F196" s="3" t="s">
        <v>89</v>
      </c>
      <c r="G196" s="3" t="s">
        <v>623</v>
      </c>
      <c r="H196" s="12">
        <v>2008</v>
      </c>
      <c r="I196" s="13" t="s">
        <v>623</v>
      </c>
      <c r="J196" s="10">
        <f t="shared" si="7"/>
        <v>14778000000</v>
      </c>
      <c r="K196" s="3" t="s">
        <v>2282</v>
      </c>
      <c r="L196" s="3" t="s">
        <v>1542</v>
      </c>
      <c r="M196" s="3" t="s">
        <v>1543</v>
      </c>
      <c r="N196" s="3" t="s">
        <v>1544</v>
      </c>
      <c r="O196" s="3" t="s">
        <v>1545</v>
      </c>
      <c r="P196" s="3"/>
      <c r="Q196" s="3"/>
      <c r="R196" s="3" t="s">
        <v>1546</v>
      </c>
      <c r="S196" s="3" t="s">
        <v>1547</v>
      </c>
      <c r="T196" s="3"/>
      <c r="U196" s="3"/>
      <c r="V196" s="3"/>
      <c r="W196" s="10">
        <f>IF( J196="s.i", "s.i", IF(ISBLANK(J196),"Actualizando información",IFERROR(J196 / VLOOKUP(A196,Deflactor!$G$3:$H$64,2,0),"Revisar error" )))</f>
        <v>15070108637.508173</v>
      </c>
      <c r="AR196" s="10">
        <f t="shared" si="8"/>
        <v>7607946000</v>
      </c>
      <c r="AT196" s="46">
        <f t="shared" si="9"/>
        <v>7607946000</v>
      </c>
      <c r="AU196" s="54">
        <f xml:space="preserve"> IFERROR(ROUND(AT196 / VLOOKUP(A196,Tabla1[#All],2,0),0),"s.i")</f>
        <v>15630200</v>
      </c>
      <c r="AV196" s="33">
        <f xml:space="preserve"> IF(AU196="s.i", "s.i", IF(AND(AU196&gt;=Deflactor!$BQ$298,AU196&lt;Deflactor!$BQ$299), Deflactor!$BP$298, IF(AND(AU196&gt;=Deflactor!$BQ$299,AU196&lt;Deflactor!$BQ$300), Deflactor!$BP$299, IF(AND(AU196&gt;=Deflactor!$BQ$300,AU196&lt;Deflactor!$BQ$301), Deflactor!$BP$300, IF(AND(AU196&gt;=Deflactor!$BQ$301,AU196&lt;Deflactor!$BQ$302), Deflactor!$BP$301, IF(AND(AU196&gt;=Deflactor!$BQ$302,AU196&lt;Deflactor!$BQ$303), Deflactor!$BP$302, IF(AND(AU196&gt;=Deflactor!$BQ$303,AU196&lt;Deflactor!$BQ$304), Deflactor!$BP$303, IF(AND(AU196&gt;=Deflactor!$BQ$304,AU196&lt;Deflactor!$BQ$305), Deflactor!$BP$304, IF(AND(AU196&gt;=Deflactor!$BQ$305,AU196&lt;Deflactor!$BQ$306), Deflactor!$BP$305, IF(AND(AU196&gt;=Deflactor!$BQ$306,AU196&lt;Deflactor!$BQ$307), Deflactor!$BP$306, Deflactor!$BP$307) ) ) ) ) ) ) ) ) )</f>
        <v>6</v>
      </c>
    </row>
    <row r="197" spans="1:48" x14ac:dyDescent="0.25">
      <c r="A197" s="3">
        <v>2012</v>
      </c>
      <c r="B197" s="3" t="s">
        <v>268</v>
      </c>
      <c r="C197" s="3" t="s">
        <v>7</v>
      </c>
      <c r="D197" s="3" t="s">
        <v>40</v>
      </c>
      <c r="E197" s="3" t="s">
        <v>41</v>
      </c>
      <c r="F197" s="3" t="s">
        <v>89</v>
      </c>
      <c r="G197" s="3" t="s">
        <v>623</v>
      </c>
      <c r="H197" s="12">
        <v>2008</v>
      </c>
      <c r="I197" s="13" t="s">
        <v>623</v>
      </c>
      <c r="J197" s="10">
        <f t="shared" si="7"/>
        <v>14778000000</v>
      </c>
      <c r="K197" s="3" t="s">
        <v>2282</v>
      </c>
      <c r="L197" s="3" t="s">
        <v>1542</v>
      </c>
      <c r="M197" s="3" t="s">
        <v>1543</v>
      </c>
      <c r="N197" s="3" t="s">
        <v>1544</v>
      </c>
      <c r="O197" s="3" t="s">
        <v>1545</v>
      </c>
      <c r="P197" s="3"/>
      <c r="Q197" s="3"/>
      <c r="R197" s="3" t="s">
        <v>1546</v>
      </c>
      <c r="S197" s="3" t="s">
        <v>1547</v>
      </c>
      <c r="T197" s="3"/>
      <c r="U197" s="3"/>
      <c r="V197" s="3"/>
      <c r="W197" s="10">
        <f>IF( J197="s.i", "s.i", IF(ISBLANK(J197),"Actualizando información",IFERROR(J197 / VLOOKUP(A197,Deflactor!$G$3:$H$64,2,0),"Revisar error" )))</f>
        <v>15070108637.508173</v>
      </c>
      <c r="AR197" s="10">
        <f t="shared" si="8"/>
        <v>7607946000</v>
      </c>
      <c r="AT197" s="46">
        <f t="shared" si="9"/>
        <v>7607946000</v>
      </c>
      <c r="AU197" s="54">
        <f xml:space="preserve"> IFERROR(ROUND(AT197 / VLOOKUP(A197,Tabla1[#All],2,0),0),"s.i")</f>
        <v>15630200</v>
      </c>
      <c r="AV197" s="33">
        <f xml:space="preserve"> IF(AU197="s.i", "s.i", IF(AND(AU197&gt;=Deflactor!$BQ$298,AU197&lt;Deflactor!$BQ$299), Deflactor!$BP$298, IF(AND(AU197&gt;=Deflactor!$BQ$299,AU197&lt;Deflactor!$BQ$300), Deflactor!$BP$299, IF(AND(AU197&gt;=Deflactor!$BQ$300,AU197&lt;Deflactor!$BQ$301), Deflactor!$BP$300, IF(AND(AU197&gt;=Deflactor!$BQ$301,AU197&lt;Deflactor!$BQ$302), Deflactor!$BP$301, IF(AND(AU197&gt;=Deflactor!$BQ$302,AU197&lt;Deflactor!$BQ$303), Deflactor!$BP$302, IF(AND(AU197&gt;=Deflactor!$BQ$303,AU197&lt;Deflactor!$BQ$304), Deflactor!$BP$303, IF(AND(AU197&gt;=Deflactor!$BQ$304,AU197&lt;Deflactor!$BQ$305), Deflactor!$BP$304, IF(AND(AU197&gt;=Deflactor!$BQ$305,AU197&lt;Deflactor!$BQ$306), Deflactor!$BP$305, IF(AND(AU197&gt;=Deflactor!$BQ$306,AU197&lt;Deflactor!$BQ$307), Deflactor!$BP$306, Deflactor!$BP$307) ) ) ) ) ) ) ) ) )</f>
        <v>6</v>
      </c>
    </row>
    <row r="198" spans="1:48" x14ac:dyDescent="0.25">
      <c r="A198" s="3">
        <v>2012</v>
      </c>
      <c r="B198" s="3" t="s">
        <v>269</v>
      </c>
      <c r="C198" s="3" t="s">
        <v>7</v>
      </c>
      <c r="D198" s="3" t="s">
        <v>40</v>
      </c>
      <c r="E198" s="3" t="s">
        <v>41</v>
      </c>
      <c r="F198" s="3" t="s">
        <v>89</v>
      </c>
      <c r="G198" s="3" t="s">
        <v>623</v>
      </c>
      <c r="H198" s="12">
        <v>2008</v>
      </c>
      <c r="I198" s="13" t="s">
        <v>623</v>
      </c>
      <c r="J198" s="10">
        <f t="shared" si="7"/>
        <v>14778000000</v>
      </c>
      <c r="K198" s="3" t="s">
        <v>2282</v>
      </c>
      <c r="L198" s="3" t="s">
        <v>1542</v>
      </c>
      <c r="M198" s="3" t="s">
        <v>1543</v>
      </c>
      <c r="N198" s="3" t="s">
        <v>1544</v>
      </c>
      <c r="O198" s="3" t="s">
        <v>1545</v>
      </c>
      <c r="P198" s="3"/>
      <c r="Q198" s="3"/>
      <c r="R198" s="3" t="s">
        <v>1546</v>
      </c>
      <c r="S198" s="3" t="s">
        <v>1547</v>
      </c>
      <c r="T198" s="3"/>
      <c r="U198" s="3"/>
      <c r="V198" s="3"/>
      <c r="W198" s="10">
        <f>IF( J198="s.i", "s.i", IF(ISBLANK(J198),"Actualizando información",IFERROR(J198 / VLOOKUP(A198,Deflactor!$G$3:$H$64,2,0),"Revisar error" )))</f>
        <v>15070108637.508173</v>
      </c>
      <c r="AR198" s="10">
        <f t="shared" si="8"/>
        <v>7607946000</v>
      </c>
      <c r="AT198" s="46">
        <f t="shared" si="9"/>
        <v>7607946000</v>
      </c>
      <c r="AU198" s="54">
        <f xml:space="preserve"> IFERROR(ROUND(AT198 / VLOOKUP(A198,Tabla1[#All],2,0),0),"s.i")</f>
        <v>15630200</v>
      </c>
      <c r="AV198" s="33">
        <f xml:space="preserve"> IF(AU198="s.i", "s.i", IF(AND(AU198&gt;=Deflactor!$BQ$298,AU198&lt;Deflactor!$BQ$299), Deflactor!$BP$298, IF(AND(AU198&gt;=Deflactor!$BQ$299,AU198&lt;Deflactor!$BQ$300), Deflactor!$BP$299, IF(AND(AU198&gt;=Deflactor!$BQ$300,AU198&lt;Deflactor!$BQ$301), Deflactor!$BP$300, IF(AND(AU198&gt;=Deflactor!$BQ$301,AU198&lt;Deflactor!$BQ$302), Deflactor!$BP$301, IF(AND(AU198&gt;=Deflactor!$BQ$302,AU198&lt;Deflactor!$BQ$303), Deflactor!$BP$302, IF(AND(AU198&gt;=Deflactor!$BQ$303,AU198&lt;Deflactor!$BQ$304), Deflactor!$BP$303, IF(AND(AU198&gt;=Deflactor!$BQ$304,AU198&lt;Deflactor!$BQ$305), Deflactor!$BP$304, IF(AND(AU198&gt;=Deflactor!$BQ$305,AU198&lt;Deflactor!$BQ$306), Deflactor!$BP$305, IF(AND(AU198&gt;=Deflactor!$BQ$306,AU198&lt;Deflactor!$BQ$307), Deflactor!$BP$306, Deflactor!$BP$307) ) ) ) ) ) ) ) ) )</f>
        <v>6</v>
      </c>
    </row>
    <row r="199" spans="1:48" x14ac:dyDescent="0.25">
      <c r="A199" s="3">
        <v>2012</v>
      </c>
      <c r="B199" s="3" t="s">
        <v>270</v>
      </c>
      <c r="C199" s="3" t="s">
        <v>7</v>
      </c>
      <c r="D199" s="3" t="s">
        <v>40</v>
      </c>
      <c r="E199" s="3" t="s">
        <v>41</v>
      </c>
      <c r="F199" s="3" t="s">
        <v>89</v>
      </c>
      <c r="G199" s="3" t="s">
        <v>623</v>
      </c>
      <c r="H199" s="12">
        <v>2008</v>
      </c>
      <c r="I199" s="13" t="s">
        <v>623</v>
      </c>
      <c r="J199" s="10">
        <f t="shared" si="7"/>
        <v>14778000000</v>
      </c>
      <c r="K199" s="3" t="s">
        <v>2282</v>
      </c>
      <c r="L199" s="3" t="s">
        <v>1542</v>
      </c>
      <c r="M199" s="3" t="s">
        <v>1543</v>
      </c>
      <c r="N199" s="3" t="s">
        <v>1544</v>
      </c>
      <c r="O199" s="3" t="s">
        <v>1545</v>
      </c>
      <c r="P199" s="3"/>
      <c r="Q199" s="3"/>
      <c r="R199" s="3" t="s">
        <v>1546</v>
      </c>
      <c r="S199" s="3" t="s">
        <v>1547</v>
      </c>
      <c r="T199" s="3"/>
      <c r="U199" s="3"/>
      <c r="V199" s="3"/>
      <c r="W199" s="10">
        <f>IF( J199="s.i", "s.i", IF(ISBLANK(J199),"Actualizando información",IFERROR(J199 / VLOOKUP(A199,Deflactor!$G$3:$H$64,2,0),"Revisar error" )))</f>
        <v>15070108637.508173</v>
      </c>
      <c r="AR199" s="10">
        <f t="shared" si="8"/>
        <v>7607946000</v>
      </c>
      <c r="AT199" s="46">
        <f t="shared" si="9"/>
        <v>7607946000</v>
      </c>
      <c r="AU199" s="54">
        <f xml:space="preserve"> IFERROR(ROUND(AT199 / VLOOKUP(A199,Tabla1[#All],2,0),0),"s.i")</f>
        <v>15630200</v>
      </c>
      <c r="AV199" s="33">
        <f xml:space="preserve"> IF(AU199="s.i", "s.i", IF(AND(AU199&gt;=Deflactor!$BQ$298,AU199&lt;Deflactor!$BQ$299), Deflactor!$BP$298, IF(AND(AU199&gt;=Deflactor!$BQ$299,AU199&lt;Deflactor!$BQ$300), Deflactor!$BP$299, IF(AND(AU199&gt;=Deflactor!$BQ$300,AU199&lt;Deflactor!$BQ$301), Deflactor!$BP$300, IF(AND(AU199&gt;=Deflactor!$BQ$301,AU199&lt;Deflactor!$BQ$302), Deflactor!$BP$301, IF(AND(AU199&gt;=Deflactor!$BQ$302,AU199&lt;Deflactor!$BQ$303), Deflactor!$BP$302, IF(AND(AU199&gt;=Deflactor!$BQ$303,AU199&lt;Deflactor!$BQ$304), Deflactor!$BP$303, IF(AND(AU199&gt;=Deflactor!$BQ$304,AU199&lt;Deflactor!$BQ$305), Deflactor!$BP$304, IF(AND(AU199&gt;=Deflactor!$BQ$305,AU199&lt;Deflactor!$BQ$306), Deflactor!$BP$305, IF(AND(AU199&gt;=Deflactor!$BQ$306,AU199&lt;Deflactor!$BQ$307), Deflactor!$BP$306, Deflactor!$BP$307) ) ) ) ) ) ) ) ) )</f>
        <v>6</v>
      </c>
    </row>
    <row r="200" spans="1:48" x14ac:dyDescent="0.25">
      <c r="A200" s="3">
        <v>2012</v>
      </c>
      <c r="B200" s="3" t="s">
        <v>271</v>
      </c>
      <c r="C200" s="3" t="s">
        <v>7</v>
      </c>
      <c r="D200" s="3" t="s">
        <v>40</v>
      </c>
      <c r="E200" s="3" t="s">
        <v>160</v>
      </c>
      <c r="F200" s="3" t="s">
        <v>30</v>
      </c>
      <c r="G200" s="3" t="s">
        <v>623</v>
      </c>
      <c r="H200" s="12">
        <v>2006</v>
      </c>
      <c r="I200" s="13" t="s">
        <v>623</v>
      </c>
      <c r="J200" s="10">
        <f xml:space="preserve"> 7097848 * 1000</f>
        <v>7097848000</v>
      </c>
      <c r="K200" s="3" t="s">
        <v>1830</v>
      </c>
      <c r="L200" s="3" t="s">
        <v>1548</v>
      </c>
      <c r="M200" s="3" t="s">
        <v>1549</v>
      </c>
      <c r="N200" s="3" t="s">
        <v>1550</v>
      </c>
      <c r="O200" s="3" t="s">
        <v>1551</v>
      </c>
      <c r="P200" s="3" t="s">
        <v>1552</v>
      </c>
      <c r="Q200" s="3"/>
      <c r="R200" s="3" t="s">
        <v>1553</v>
      </c>
      <c r="S200" s="3" t="s">
        <v>1554</v>
      </c>
      <c r="T200" s="3"/>
      <c r="U200" s="3"/>
      <c r="V200" s="3"/>
      <c r="W200" s="10">
        <f>IF( J200="s.i", "s.i", IF(ISBLANK(J200),"Actualizando información",IFERROR(J200 / VLOOKUP(A200,Deflactor!$G$3:$H$64,2,0),"Revisar error" )))</f>
        <v>7238147276.5272779</v>
      </c>
      <c r="AR200" s="34">
        <f xml:space="preserve"> 7097848 * 1000</f>
        <v>7097848000</v>
      </c>
      <c r="AT200" s="46">
        <f t="shared" si="9"/>
        <v>7097848000</v>
      </c>
      <c r="AU200" s="54">
        <f xml:space="preserve"> IFERROR(ROUND(AT200 / VLOOKUP(A200,Tabla1[#All],2,0),0),"s.i")</f>
        <v>14582225</v>
      </c>
      <c r="AV200" s="33">
        <f xml:space="preserve"> IF(AU200="s.i", "s.i", IF(AND(AU200&gt;=Deflactor!$BQ$298,AU200&lt;Deflactor!$BQ$299), Deflactor!$BP$298, IF(AND(AU200&gt;=Deflactor!$BQ$299,AU200&lt;Deflactor!$BQ$300), Deflactor!$BP$299, IF(AND(AU200&gt;=Deflactor!$BQ$300,AU200&lt;Deflactor!$BQ$301), Deflactor!$BP$300, IF(AND(AU200&gt;=Deflactor!$BQ$301,AU200&lt;Deflactor!$BQ$302), Deflactor!$BP$301, IF(AND(AU200&gt;=Deflactor!$BQ$302,AU200&lt;Deflactor!$BQ$303), Deflactor!$BP$302, IF(AND(AU200&gt;=Deflactor!$BQ$303,AU200&lt;Deflactor!$BQ$304), Deflactor!$BP$303, IF(AND(AU200&gt;=Deflactor!$BQ$304,AU200&lt;Deflactor!$BQ$305), Deflactor!$BP$304, IF(AND(AU200&gt;=Deflactor!$BQ$305,AU200&lt;Deflactor!$BQ$306), Deflactor!$BP$305, IF(AND(AU200&gt;=Deflactor!$BQ$306,AU200&lt;Deflactor!$BQ$307), Deflactor!$BP$306, Deflactor!$BP$307) ) ) ) ) ) ) ) ) )</f>
        <v>5</v>
      </c>
    </row>
    <row r="201" spans="1:48" x14ac:dyDescent="0.25">
      <c r="A201" s="3">
        <v>2012</v>
      </c>
      <c r="B201" s="3" t="s">
        <v>272</v>
      </c>
      <c r="C201" s="3" t="s">
        <v>7</v>
      </c>
      <c r="D201" s="3" t="s">
        <v>36</v>
      </c>
      <c r="E201" s="3" t="s">
        <v>98</v>
      </c>
      <c r="F201" s="3" t="s">
        <v>89</v>
      </c>
      <c r="G201" s="3" t="s">
        <v>623</v>
      </c>
      <c r="H201" s="12">
        <v>2007</v>
      </c>
      <c r="I201" s="13" t="s">
        <v>623</v>
      </c>
      <c r="J201" s="10">
        <f xml:space="preserve"> 1370 * 1000000</f>
        <v>1370000000</v>
      </c>
      <c r="K201" s="3" t="s">
        <v>1863</v>
      </c>
      <c r="L201" s="3" t="s">
        <v>1555</v>
      </c>
      <c r="M201" s="3" t="s">
        <v>1556</v>
      </c>
      <c r="N201" s="3" t="s">
        <v>1557</v>
      </c>
      <c r="O201" s="3" t="s">
        <v>1558</v>
      </c>
      <c r="P201" s="3"/>
      <c r="Q201" s="3"/>
      <c r="R201" s="3" t="s">
        <v>1559</v>
      </c>
      <c r="S201" s="3" t="s">
        <v>1560</v>
      </c>
      <c r="T201" s="3"/>
      <c r="U201" s="3"/>
      <c r="V201" s="3"/>
      <c r="W201" s="10">
        <f>IF( J201="s.i", "s.i", IF(ISBLANK(J201),"Actualizando información",IFERROR(J201 / VLOOKUP(A201,Deflactor!$G$3:$H$64,2,0),"Revisar error" )))</f>
        <v>1397080040.1533494</v>
      </c>
      <c r="AR201" s="34">
        <f xml:space="preserve"> 4151851 * 1000</f>
        <v>4151851000</v>
      </c>
      <c r="AT201" s="46">
        <f t="shared" si="9"/>
        <v>4151851000</v>
      </c>
      <c r="AU201" s="54">
        <f xml:space="preserve"> IFERROR(ROUND(AT201 / VLOOKUP(A201,Tabla1[#All],2,0),0),"s.i")</f>
        <v>8529800</v>
      </c>
      <c r="AV201" s="33">
        <f xml:space="preserve"> IF(AU201="s.i", "s.i", IF(AND(AU201&gt;=Deflactor!$BQ$298,AU201&lt;Deflactor!$BQ$299), Deflactor!$BP$298, IF(AND(AU201&gt;=Deflactor!$BQ$299,AU201&lt;Deflactor!$BQ$300), Deflactor!$BP$299, IF(AND(AU201&gt;=Deflactor!$BQ$300,AU201&lt;Deflactor!$BQ$301), Deflactor!$BP$300, IF(AND(AU201&gt;=Deflactor!$BQ$301,AU201&lt;Deflactor!$BQ$302), Deflactor!$BP$301, IF(AND(AU201&gt;=Deflactor!$BQ$302,AU201&lt;Deflactor!$BQ$303), Deflactor!$BP$302, IF(AND(AU201&gt;=Deflactor!$BQ$303,AU201&lt;Deflactor!$BQ$304), Deflactor!$BP$303, IF(AND(AU201&gt;=Deflactor!$BQ$304,AU201&lt;Deflactor!$BQ$305), Deflactor!$BP$304, IF(AND(AU201&gt;=Deflactor!$BQ$305,AU201&lt;Deflactor!$BQ$306), Deflactor!$BP$305, IF(AND(AU201&gt;=Deflactor!$BQ$306,AU201&lt;Deflactor!$BQ$307), Deflactor!$BP$306, Deflactor!$BP$307) ) ) ) ) ) ) ) ) )</f>
        <v>4</v>
      </c>
    </row>
    <row r="202" spans="1:48" x14ac:dyDescent="0.25">
      <c r="A202" s="3">
        <v>2012</v>
      </c>
      <c r="B202" s="3" t="s">
        <v>273</v>
      </c>
      <c r="C202" s="3" t="s">
        <v>7</v>
      </c>
      <c r="D202" s="3" t="s">
        <v>36</v>
      </c>
      <c r="E202" s="3" t="s">
        <v>81</v>
      </c>
      <c r="F202" s="3" t="s">
        <v>95</v>
      </c>
      <c r="G202" s="3" t="s">
        <v>723</v>
      </c>
      <c r="H202" s="13">
        <v>2005</v>
      </c>
      <c r="I202" s="13" t="s">
        <v>623</v>
      </c>
      <c r="J202" s="10">
        <f xml:space="preserve"> 5021446 * 1</f>
        <v>5021446</v>
      </c>
      <c r="K202" s="3"/>
      <c r="L202" s="3" t="s">
        <v>1561</v>
      </c>
      <c r="M202" s="3" t="s">
        <v>1562</v>
      </c>
      <c r="N202" s="3" t="s">
        <v>1563</v>
      </c>
      <c r="O202" s="3"/>
      <c r="P202" s="3"/>
      <c r="Q202" s="3"/>
      <c r="R202" s="3" t="s">
        <v>1564</v>
      </c>
      <c r="S202" s="3" t="s">
        <v>1565</v>
      </c>
      <c r="T202" s="3" t="s">
        <v>1566</v>
      </c>
      <c r="U202" s="3"/>
      <c r="V202" s="3"/>
      <c r="W202" s="10">
        <f>IF( J202="s.i", "s.i", IF(ISBLANK(J202),"Actualizando información",IFERROR(J202 / VLOOKUP(A202,Deflactor!$G$3:$H$64,2,0),"Revisar error" )))</f>
        <v>5120702.1746772816</v>
      </c>
      <c r="AR202" s="34">
        <f xml:space="preserve"> 5021446 * 1000</f>
        <v>5021446000</v>
      </c>
      <c r="AT202" s="46">
        <f t="shared" si="9"/>
        <v>5021446000</v>
      </c>
      <c r="AU202" s="54">
        <f xml:space="preserve"> IFERROR(ROUND(AT202 / VLOOKUP(A202,Tabla1[#All],2,0),0),"s.i")</f>
        <v>10316346</v>
      </c>
      <c r="AV202" s="33">
        <f xml:space="preserve"> IF(AU202="s.i", "s.i", IF(AND(AU202&gt;=Deflactor!$BQ$298,AU202&lt;Deflactor!$BQ$299), Deflactor!$BP$298, IF(AND(AU202&gt;=Deflactor!$BQ$299,AU202&lt;Deflactor!$BQ$300), Deflactor!$BP$299, IF(AND(AU202&gt;=Deflactor!$BQ$300,AU202&lt;Deflactor!$BQ$301), Deflactor!$BP$300, IF(AND(AU202&gt;=Deflactor!$BQ$301,AU202&lt;Deflactor!$BQ$302), Deflactor!$BP$301, IF(AND(AU202&gt;=Deflactor!$BQ$302,AU202&lt;Deflactor!$BQ$303), Deflactor!$BP$302, IF(AND(AU202&gt;=Deflactor!$BQ$303,AU202&lt;Deflactor!$BQ$304), Deflactor!$BP$303, IF(AND(AU202&gt;=Deflactor!$BQ$304,AU202&lt;Deflactor!$BQ$305), Deflactor!$BP$304, IF(AND(AU202&gt;=Deflactor!$BQ$305,AU202&lt;Deflactor!$BQ$306), Deflactor!$BP$305, IF(AND(AU202&gt;=Deflactor!$BQ$306,AU202&lt;Deflactor!$BQ$307), Deflactor!$BP$306, Deflactor!$BP$307) ) ) ) ) ) ) ) ) )</f>
        <v>5</v>
      </c>
    </row>
    <row r="203" spans="1:48" x14ac:dyDescent="0.25">
      <c r="A203" s="3">
        <v>2012</v>
      </c>
      <c r="B203" s="3" t="s">
        <v>274</v>
      </c>
      <c r="C203" s="3" t="s">
        <v>7</v>
      </c>
      <c r="D203" s="3" t="s">
        <v>25</v>
      </c>
      <c r="E203" s="3" t="s">
        <v>151</v>
      </c>
      <c r="F203" s="3" t="s">
        <v>194</v>
      </c>
      <c r="G203" s="3" t="s">
        <v>723</v>
      </c>
      <c r="H203" s="12">
        <v>2011</v>
      </c>
      <c r="I203" s="13" t="s">
        <v>623</v>
      </c>
      <c r="J203" s="10">
        <f xml:space="preserve"> 7058 * 1000000</f>
        <v>7058000000</v>
      </c>
      <c r="K203" s="3" t="s">
        <v>2301</v>
      </c>
      <c r="L203" s="3" t="s">
        <v>1567</v>
      </c>
      <c r="M203" s="3" t="s">
        <v>1568</v>
      </c>
      <c r="N203" s="3" t="s">
        <v>1569</v>
      </c>
      <c r="O203" s="3" t="s">
        <v>1570</v>
      </c>
      <c r="P203" s="3"/>
      <c r="Q203" s="14" t="s">
        <v>1571</v>
      </c>
      <c r="R203" s="3" t="s">
        <v>1572</v>
      </c>
      <c r="S203" s="3" t="s">
        <v>1573</v>
      </c>
      <c r="T203" s="3" t="s">
        <v>1574</v>
      </c>
      <c r="U203" s="3"/>
      <c r="V203" s="3"/>
      <c r="W203" s="10">
        <f>IF( J203="s.i", "s.i", IF(ISBLANK(J203),"Actualizando información",IFERROR(J203 / VLOOKUP(A203,Deflactor!$G$3:$H$64,2,0),"Revisar error" )))</f>
        <v>7197511622.9214163</v>
      </c>
      <c r="AR203" s="10">
        <f xml:space="preserve"> 4635252 * 1000</f>
        <v>4635252000</v>
      </c>
      <c r="AT203" s="46">
        <f t="shared" si="9"/>
        <v>4635252000</v>
      </c>
      <c r="AU203" s="54">
        <f xml:space="preserve"> IFERROR(ROUND(AT203 / VLOOKUP(A203,Tabla1[#All],2,0),0),"s.i")</f>
        <v>9522927</v>
      </c>
      <c r="AV203" s="33">
        <f xml:space="preserve"> IF(AU203="s.i", "s.i", IF(AND(AU203&gt;=Deflactor!$BQ$298,AU203&lt;Deflactor!$BQ$299), Deflactor!$BP$298, IF(AND(AU203&gt;=Deflactor!$BQ$299,AU203&lt;Deflactor!$BQ$300), Deflactor!$BP$299, IF(AND(AU203&gt;=Deflactor!$BQ$300,AU203&lt;Deflactor!$BQ$301), Deflactor!$BP$300, IF(AND(AU203&gt;=Deflactor!$BQ$301,AU203&lt;Deflactor!$BQ$302), Deflactor!$BP$301, IF(AND(AU203&gt;=Deflactor!$BQ$302,AU203&lt;Deflactor!$BQ$303), Deflactor!$BP$302, IF(AND(AU203&gt;=Deflactor!$BQ$303,AU203&lt;Deflactor!$BQ$304), Deflactor!$BP$303, IF(AND(AU203&gt;=Deflactor!$BQ$304,AU203&lt;Deflactor!$BQ$305), Deflactor!$BP$304, IF(AND(AU203&gt;=Deflactor!$BQ$305,AU203&lt;Deflactor!$BQ$306), Deflactor!$BP$305, IF(AND(AU203&gt;=Deflactor!$BQ$306,AU203&lt;Deflactor!$BQ$307), Deflactor!$BP$306, Deflactor!$BP$307) ) ) ) ) ) ) ) ) )</f>
        <v>4</v>
      </c>
    </row>
    <row r="204" spans="1:48" x14ac:dyDescent="0.25">
      <c r="A204" s="3">
        <v>2012</v>
      </c>
      <c r="B204" s="3" t="s">
        <v>275</v>
      </c>
      <c r="C204" s="3" t="s">
        <v>7</v>
      </c>
      <c r="D204" s="3" t="s">
        <v>25</v>
      </c>
      <c r="E204" s="3" t="s">
        <v>151</v>
      </c>
      <c r="F204" s="3" t="s">
        <v>194</v>
      </c>
      <c r="G204" s="3" t="s">
        <v>723</v>
      </c>
      <c r="H204" s="12">
        <v>2007</v>
      </c>
      <c r="I204" s="13" t="s">
        <v>623</v>
      </c>
      <c r="J204" s="10">
        <f xml:space="preserve"> 7058 * 1000000</f>
        <v>7058000000</v>
      </c>
      <c r="K204" s="3" t="s">
        <v>2301</v>
      </c>
      <c r="L204" s="3" t="s">
        <v>1567</v>
      </c>
      <c r="M204" s="3" t="s">
        <v>1568</v>
      </c>
      <c r="N204" s="3" t="s">
        <v>1569</v>
      </c>
      <c r="O204" s="3" t="s">
        <v>1570</v>
      </c>
      <c r="P204" s="3"/>
      <c r="Q204" s="14" t="s">
        <v>1575</v>
      </c>
      <c r="R204" s="3" t="s">
        <v>1572</v>
      </c>
      <c r="S204" s="3" t="s">
        <v>1573</v>
      </c>
      <c r="T204" s="3" t="s">
        <v>1574</v>
      </c>
      <c r="U204" s="3"/>
      <c r="V204" s="3"/>
      <c r="W204" s="10">
        <f>IF( J204="s.i", "s.i", IF(ISBLANK(J204),"Actualizando información",IFERROR(J204 / VLOOKUP(A204,Deflactor!$G$3:$H$64,2,0),"Revisar error" )))</f>
        <v>7197511622.9214163</v>
      </c>
      <c r="AR204" s="34">
        <f xml:space="preserve"> 2423221 * 1000</f>
        <v>2423221000</v>
      </c>
      <c r="AT204" s="46">
        <f t="shared" si="9"/>
        <v>2423221000</v>
      </c>
      <c r="AU204" s="54">
        <f xml:space="preserve"> IFERROR(ROUND(AT204 / VLOOKUP(A204,Tabla1[#All],2,0),0),"s.i")</f>
        <v>4978404</v>
      </c>
      <c r="AV204" s="33">
        <f xml:space="preserve"> IF(AU204="s.i", "s.i", IF(AND(AU204&gt;=Deflactor!$BQ$298,AU204&lt;Deflactor!$BQ$299), Deflactor!$BP$298, IF(AND(AU204&gt;=Deflactor!$BQ$299,AU204&lt;Deflactor!$BQ$300), Deflactor!$BP$299, IF(AND(AU204&gt;=Deflactor!$BQ$300,AU204&lt;Deflactor!$BQ$301), Deflactor!$BP$300, IF(AND(AU204&gt;=Deflactor!$BQ$301,AU204&lt;Deflactor!$BQ$302), Deflactor!$BP$301, IF(AND(AU204&gt;=Deflactor!$BQ$302,AU204&lt;Deflactor!$BQ$303), Deflactor!$BP$302, IF(AND(AU204&gt;=Deflactor!$BQ$303,AU204&lt;Deflactor!$BQ$304), Deflactor!$BP$303, IF(AND(AU204&gt;=Deflactor!$BQ$304,AU204&lt;Deflactor!$BQ$305), Deflactor!$BP$304, IF(AND(AU204&gt;=Deflactor!$BQ$305,AU204&lt;Deflactor!$BQ$306), Deflactor!$BP$305, IF(AND(AU204&gt;=Deflactor!$BQ$306,AU204&lt;Deflactor!$BQ$307), Deflactor!$BP$306, Deflactor!$BP$307) ) ) ) ) ) ) ) ) )</f>
        <v>2</v>
      </c>
    </row>
    <row r="205" spans="1:48" x14ac:dyDescent="0.25">
      <c r="A205" s="3">
        <v>2011</v>
      </c>
      <c r="B205" s="3" t="s">
        <v>276</v>
      </c>
      <c r="C205" s="3" t="s">
        <v>92</v>
      </c>
      <c r="D205" s="3" t="s">
        <v>36</v>
      </c>
      <c r="E205" s="3" t="s">
        <v>81</v>
      </c>
      <c r="F205" s="3" t="s">
        <v>89</v>
      </c>
      <c r="G205" s="3"/>
      <c r="H205" s="12"/>
      <c r="I205" s="13"/>
      <c r="J205" s="10"/>
      <c r="K205" s="3"/>
      <c r="L205" s="3"/>
      <c r="M205" s="3"/>
      <c r="N205" s="3"/>
      <c r="O205" s="3"/>
      <c r="P205" s="3"/>
      <c r="Q205" s="3"/>
      <c r="R205" s="3"/>
      <c r="S205" s="3"/>
      <c r="T205" s="3"/>
      <c r="U205" s="3"/>
      <c r="V205" s="3"/>
      <c r="W205" s="10" t="str">
        <f>IF( J205="s.i", "s.i", IF(ISBLANK(J205),"Actualizando información",IFERROR(J205 / VLOOKUP(A205,Deflactor!$G$3:$H$64,2,0),"Revisar error" )))</f>
        <v>Actualizando información</v>
      </c>
      <c r="AR205" s="10">
        <f xml:space="preserve"> 134989 * 1000</f>
        <v>134989000</v>
      </c>
      <c r="AT205" s="46">
        <f t="shared" si="9"/>
        <v>134989000</v>
      </c>
      <c r="AU205" s="54">
        <f xml:space="preserve"> IFERROR(ROUND(AT205 / VLOOKUP(A205,Tabla1[#All],2,0),0),"s.i")</f>
        <v>279270</v>
      </c>
      <c r="AV205" s="33">
        <f xml:space="preserve"> IF(AU205="s.i", "s.i", IF(AND(AU205&gt;=Deflactor!$BQ$298,AU205&lt;Deflactor!$BQ$299), Deflactor!$BP$298, IF(AND(AU205&gt;=Deflactor!$BQ$299,AU205&lt;Deflactor!$BQ$300), Deflactor!$BP$299, IF(AND(AU205&gt;=Deflactor!$BQ$300,AU205&lt;Deflactor!$BQ$301), Deflactor!$BP$300, IF(AND(AU205&gt;=Deflactor!$BQ$301,AU205&lt;Deflactor!$BQ$302), Deflactor!$BP$301, IF(AND(AU205&gt;=Deflactor!$BQ$302,AU205&lt;Deflactor!$BQ$303), Deflactor!$BP$302, IF(AND(AU205&gt;=Deflactor!$BQ$303,AU205&lt;Deflactor!$BQ$304), Deflactor!$BP$303, IF(AND(AU205&gt;=Deflactor!$BQ$304,AU205&lt;Deflactor!$BQ$305), Deflactor!$BP$304, IF(AND(AU205&gt;=Deflactor!$BQ$305,AU205&lt;Deflactor!$BQ$306), Deflactor!$BP$305, IF(AND(AU205&gt;=Deflactor!$BQ$306,AU205&lt;Deflactor!$BQ$307), Deflactor!$BP$306, Deflactor!$BP$307) ) ) ) ) ) ) ) ) )</f>
        <v>1</v>
      </c>
    </row>
    <row r="206" spans="1:48" x14ac:dyDescent="0.25">
      <c r="A206" s="3">
        <v>2011</v>
      </c>
      <c r="B206" s="3" t="s">
        <v>277</v>
      </c>
      <c r="C206" s="3" t="s">
        <v>92</v>
      </c>
      <c r="D206" s="3" t="s">
        <v>36</v>
      </c>
      <c r="E206" s="3" t="s">
        <v>81</v>
      </c>
      <c r="F206" s="3" t="s">
        <v>89</v>
      </c>
      <c r="G206" s="3"/>
      <c r="H206" s="12"/>
      <c r="I206" s="13"/>
      <c r="J206" s="10"/>
      <c r="K206" s="3"/>
      <c r="L206" s="3"/>
      <c r="M206" s="3"/>
      <c r="N206" s="3"/>
      <c r="O206" s="3"/>
      <c r="P206" s="3"/>
      <c r="Q206" s="3"/>
      <c r="R206" s="3"/>
      <c r="S206" s="3"/>
      <c r="T206" s="3"/>
      <c r="U206" s="3"/>
      <c r="V206" s="3"/>
      <c r="W206" s="10" t="str">
        <f>IF( J206="s.i", "s.i", IF(ISBLANK(J206),"Actualizando información",IFERROR(J206 / VLOOKUP(A206,Deflactor!$G$3:$H$64,2,0),"Revisar error" )))</f>
        <v>Actualizando información</v>
      </c>
      <c r="AR206" s="10">
        <f xml:space="preserve"> 1597533 * 1000</f>
        <v>1597533000</v>
      </c>
      <c r="AT206" s="46">
        <f t="shared" si="9"/>
        <v>1597533000</v>
      </c>
      <c r="AU206" s="54">
        <f xml:space="preserve"> IFERROR(ROUND(AT206 / VLOOKUP(A206,Tabla1[#All],2,0),0),"s.i")</f>
        <v>3305031</v>
      </c>
      <c r="AV206" s="33">
        <f xml:space="preserve"> IF(AU206="s.i", "s.i", IF(AND(AU206&gt;=Deflactor!$BQ$298,AU206&lt;Deflactor!$BQ$299), Deflactor!$BP$298, IF(AND(AU206&gt;=Deflactor!$BQ$299,AU206&lt;Deflactor!$BQ$300), Deflactor!$BP$299, IF(AND(AU206&gt;=Deflactor!$BQ$300,AU206&lt;Deflactor!$BQ$301), Deflactor!$BP$300, IF(AND(AU206&gt;=Deflactor!$BQ$301,AU206&lt;Deflactor!$BQ$302), Deflactor!$BP$301, IF(AND(AU206&gt;=Deflactor!$BQ$302,AU206&lt;Deflactor!$BQ$303), Deflactor!$BP$302, IF(AND(AU206&gt;=Deflactor!$BQ$303,AU206&lt;Deflactor!$BQ$304), Deflactor!$BP$303, IF(AND(AU206&gt;=Deflactor!$BQ$304,AU206&lt;Deflactor!$BQ$305), Deflactor!$BP$304, IF(AND(AU206&gt;=Deflactor!$BQ$305,AU206&lt;Deflactor!$BQ$306), Deflactor!$BP$305, IF(AND(AU206&gt;=Deflactor!$BQ$306,AU206&lt;Deflactor!$BQ$307), Deflactor!$BP$306, Deflactor!$BP$307) ) ) ) ) ) ) ) ) )</f>
        <v>2</v>
      </c>
    </row>
    <row r="207" spans="1:48" x14ac:dyDescent="0.25">
      <c r="A207" s="3">
        <v>2011</v>
      </c>
      <c r="B207" s="3" t="s">
        <v>278</v>
      </c>
      <c r="C207" s="3" t="s">
        <v>92</v>
      </c>
      <c r="D207" s="3" t="s">
        <v>36</v>
      </c>
      <c r="E207" s="3" t="s">
        <v>81</v>
      </c>
      <c r="F207" s="3" t="s">
        <v>89</v>
      </c>
      <c r="G207" s="3"/>
      <c r="H207" s="12"/>
      <c r="I207" s="13"/>
      <c r="J207" s="10"/>
      <c r="K207" s="3"/>
      <c r="L207" s="3"/>
      <c r="M207" s="3"/>
      <c r="N207" s="3"/>
      <c r="O207" s="3"/>
      <c r="P207" s="3"/>
      <c r="Q207" s="3"/>
      <c r="R207" s="3"/>
      <c r="S207" s="3"/>
      <c r="T207" s="3"/>
      <c r="U207" s="3"/>
      <c r="V207" s="3"/>
      <c r="W207" s="10" t="str">
        <f>IF( J207="s.i", "s.i", IF(ISBLANK(J207),"Actualizando información",IFERROR(J207 / VLOOKUP(A207,Deflactor!$G$3:$H$64,2,0),"Revisar error" )))</f>
        <v>Actualizando información</v>
      </c>
      <c r="AR207" s="10">
        <f xml:space="preserve"> 75201 * 1000</f>
        <v>75201000</v>
      </c>
      <c r="AT207" s="46">
        <f t="shared" si="9"/>
        <v>75201000</v>
      </c>
      <c r="AU207" s="54">
        <f xml:space="preserve"> IFERROR(ROUND(AT207 / VLOOKUP(A207,Tabla1[#All],2,0),0),"s.i")</f>
        <v>155578</v>
      </c>
      <c r="AV207" s="33">
        <f xml:space="preserve"> IF(AU207="s.i", "s.i", IF(AND(AU207&gt;=Deflactor!$BQ$298,AU207&lt;Deflactor!$BQ$299), Deflactor!$BP$298, IF(AND(AU207&gt;=Deflactor!$BQ$299,AU207&lt;Deflactor!$BQ$300), Deflactor!$BP$299, IF(AND(AU207&gt;=Deflactor!$BQ$300,AU207&lt;Deflactor!$BQ$301), Deflactor!$BP$300, IF(AND(AU207&gt;=Deflactor!$BQ$301,AU207&lt;Deflactor!$BQ$302), Deflactor!$BP$301, IF(AND(AU207&gt;=Deflactor!$BQ$302,AU207&lt;Deflactor!$BQ$303), Deflactor!$BP$302, IF(AND(AU207&gt;=Deflactor!$BQ$303,AU207&lt;Deflactor!$BQ$304), Deflactor!$BP$303, IF(AND(AU207&gt;=Deflactor!$BQ$304,AU207&lt;Deflactor!$BQ$305), Deflactor!$BP$304, IF(AND(AU207&gt;=Deflactor!$BQ$305,AU207&lt;Deflactor!$BQ$306), Deflactor!$BP$305, IF(AND(AU207&gt;=Deflactor!$BQ$306,AU207&lt;Deflactor!$BQ$307), Deflactor!$BP$306, Deflactor!$BP$307) ) ) ) ) ) ) ) ) )</f>
        <v>1</v>
      </c>
    </row>
    <row r="208" spans="1:48" x14ac:dyDescent="0.25">
      <c r="A208" s="3">
        <v>2011</v>
      </c>
      <c r="B208" s="3" t="s">
        <v>279</v>
      </c>
      <c r="C208" s="3" t="s">
        <v>92</v>
      </c>
      <c r="D208" s="3" t="s">
        <v>36</v>
      </c>
      <c r="E208" s="3" t="s">
        <v>81</v>
      </c>
      <c r="F208" s="3" t="s">
        <v>89</v>
      </c>
      <c r="G208" s="3"/>
      <c r="H208" s="12"/>
      <c r="I208" s="13"/>
      <c r="J208" s="10"/>
      <c r="K208" s="3"/>
      <c r="L208" s="3"/>
      <c r="M208" s="3"/>
      <c r="N208" s="3"/>
      <c r="O208" s="3"/>
      <c r="P208" s="3"/>
      <c r="Q208" s="3"/>
      <c r="R208" s="3"/>
      <c r="S208" s="3"/>
      <c r="T208" s="3"/>
      <c r="U208" s="3"/>
      <c r="V208" s="3"/>
      <c r="W208" s="10" t="str">
        <f>IF( J208="s.i", "s.i", IF(ISBLANK(J208),"Actualizando información",IFERROR(J208 / VLOOKUP(A208,Deflactor!$G$3:$H$64,2,0),"Revisar error" )))</f>
        <v>Actualizando información</v>
      </c>
      <c r="AR208" s="10">
        <f xml:space="preserve"> 252948 * 1000</f>
        <v>252948000</v>
      </c>
      <c r="AT208" s="46">
        <f t="shared" si="9"/>
        <v>252948000</v>
      </c>
      <c r="AU208" s="54">
        <f xml:space="preserve"> IFERROR(ROUND(AT208 / VLOOKUP(A208,Tabla1[#All],2,0),0),"s.i")</f>
        <v>523307</v>
      </c>
      <c r="AV208" s="33">
        <f xml:space="preserve"> IF(AU208="s.i", "s.i", IF(AND(AU208&gt;=Deflactor!$BQ$298,AU208&lt;Deflactor!$BQ$299), Deflactor!$BP$298, IF(AND(AU208&gt;=Deflactor!$BQ$299,AU208&lt;Deflactor!$BQ$300), Deflactor!$BP$299, IF(AND(AU208&gt;=Deflactor!$BQ$300,AU208&lt;Deflactor!$BQ$301), Deflactor!$BP$300, IF(AND(AU208&gt;=Deflactor!$BQ$301,AU208&lt;Deflactor!$BQ$302), Deflactor!$BP$301, IF(AND(AU208&gt;=Deflactor!$BQ$302,AU208&lt;Deflactor!$BQ$303), Deflactor!$BP$302, IF(AND(AU208&gt;=Deflactor!$BQ$303,AU208&lt;Deflactor!$BQ$304), Deflactor!$BP$303, IF(AND(AU208&gt;=Deflactor!$BQ$304,AU208&lt;Deflactor!$BQ$305), Deflactor!$BP$304, IF(AND(AU208&gt;=Deflactor!$BQ$305,AU208&lt;Deflactor!$BQ$306), Deflactor!$BP$305, IF(AND(AU208&gt;=Deflactor!$BQ$306,AU208&lt;Deflactor!$BQ$307), Deflactor!$BP$306, Deflactor!$BP$307) ) ) ) ) ) ) ) ) )</f>
        <v>1</v>
      </c>
    </row>
    <row r="209" spans="1:48" x14ac:dyDescent="0.25">
      <c r="A209" s="3">
        <v>2011</v>
      </c>
      <c r="B209" s="3" t="s">
        <v>280</v>
      </c>
      <c r="C209" s="3" t="s">
        <v>92</v>
      </c>
      <c r="D209" s="3" t="s">
        <v>36</v>
      </c>
      <c r="E209" s="3" t="s">
        <v>81</v>
      </c>
      <c r="F209" s="3" t="s">
        <v>89</v>
      </c>
      <c r="G209" s="3"/>
      <c r="H209" s="12"/>
      <c r="I209" s="13"/>
      <c r="J209" s="10"/>
      <c r="K209" s="3"/>
      <c r="L209" s="3"/>
      <c r="M209" s="3"/>
      <c r="N209" s="3"/>
      <c r="O209" s="3"/>
      <c r="P209" s="3"/>
      <c r="Q209" s="3"/>
      <c r="R209" s="3"/>
      <c r="S209" s="3"/>
      <c r="T209" s="3"/>
      <c r="U209" s="3"/>
      <c r="V209" s="3"/>
      <c r="W209" s="10" t="str">
        <f>IF( J209="s.i", "s.i", IF(ISBLANK(J209),"Actualizando información",IFERROR(J209 / VLOOKUP(A209,Deflactor!$G$3:$H$64,2,0),"Revisar error" )))</f>
        <v>Actualizando información</v>
      </c>
      <c r="AR209" s="10">
        <f xml:space="preserve"> 2632393 * 1000</f>
        <v>2632393000</v>
      </c>
      <c r="AT209" s="46">
        <f t="shared" si="9"/>
        <v>2632393000</v>
      </c>
      <c r="AU209" s="54">
        <f xml:space="preserve"> IFERROR(ROUND(AT209 / VLOOKUP(A209,Tabla1[#All],2,0),0),"s.i")</f>
        <v>5445984</v>
      </c>
      <c r="AV209" s="33">
        <f xml:space="preserve"> IF(AU209="s.i", "s.i", IF(AND(AU209&gt;=Deflactor!$BQ$298,AU209&lt;Deflactor!$BQ$299), Deflactor!$BP$298, IF(AND(AU209&gt;=Deflactor!$BQ$299,AU209&lt;Deflactor!$BQ$300), Deflactor!$BP$299, IF(AND(AU209&gt;=Deflactor!$BQ$300,AU209&lt;Deflactor!$BQ$301), Deflactor!$BP$300, IF(AND(AU209&gt;=Deflactor!$BQ$301,AU209&lt;Deflactor!$BQ$302), Deflactor!$BP$301, IF(AND(AU209&gt;=Deflactor!$BQ$302,AU209&lt;Deflactor!$BQ$303), Deflactor!$BP$302, IF(AND(AU209&gt;=Deflactor!$BQ$303,AU209&lt;Deflactor!$BQ$304), Deflactor!$BP$303, IF(AND(AU209&gt;=Deflactor!$BQ$304,AU209&lt;Deflactor!$BQ$305), Deflactor!$BP$304, IF(AND(AU209&gt;=Deflactor!$BQ$305,AU209&lt;Deflactor!$BQ$306), Deflactor!$BP$305, IF(AND(AU209&gt;=Deflactor!$BQ$306,AU209&lt;Deflactor!$BQ$307), Deflactor!$BP$306, Deflactor!$BP$307) ) ) ) ) ) ) ) ) )</f>
        <v>3</v>
      </c>
    </row>
    <row r="210" spans="1:48" x14ac:dyDescent="0.25">
      <c r="A210" s="3">
        <v>2011</v>
      </c>
      <c r="B210" s="3" t="s">
        <v>281</v>
      </c>
      <c r="C210" s="3" t="s">
        <v>155</v>
      </c>
      <c r="D210" s="3" t="s">
        <v>54</v>
      </c>
      <c r="E210" s="3" t="s">
        <v>243</v>
      </c>
      <c r="F210" s="3" t="s">
        <v>157</v>
      </c>
      <c r="G210" s="3"/>
      <c r="H210" s="12"/>
      <c r="I210" s="13"/>
      <c r="J210" s="10"/>
      <c r="K210" s="3"/>
      <c r="L210" s="3"/>
      <c r="M210" s="3"/>
      <c r="N210" s="3"/>
      <c r="O210" s="3"/>
      <c r="P210" s="3"/>
      <c r="Q210" s="3"/>
      <c r="R210" s="3"/>
      <c r="S210" s="3"/>
      <c r="T210" s="3"/>
      <c r="U210" s="3"/>
      <c r="V210" s="3"/>
      <c r="W210" s="10" t="str">
        <f>IF( J210="s.i", "s.i", IF(ISBLANK(J210),"Actualizando información",IFERROR(J210 / VLOOKUP(A210,Deflactor!$G$3:$H$64,2,0),"Revisar error" )))</f>
        <v>Actualizando información</v>
      </c>
      <c r="AR210" s="10">
        <f xml:space="preserve"> 1902666882 * 1000</f>
        <v>1902666882000</v>
      </c>
      <c r="AT210" s="46">
        <f t="shared" si="9"/>
        <v>1902666882000</v>
      </c>
      <c r="AU210" s="54">
        <f xml:space="preserve"> IFERROR(ROUND(AT210 / VLOOKUP(A210,Tabla1[#All],2,0),0),"s.i")</f>
        <v>3936302030</v>
      </c>
      <c r="AV210" s="33">
        <f xml:space="preserve"> IF(AU210="s.i", "s.i", IF(AND(AU210&gt;=Deflactor!$BQ$298,AU210&lt;Deflactor!$BQ$299), Deflactor!$BP$298, IF(AND(AU210&gt;=Deflactor!$BQ$299,AU210&lt;Deflactor!$BQ$300), Deflactor!$BP$299, IF(AND(AU210&gt;=Deflactor!$BQ$300,AU210&lt;Deflactor!$BQ$301), Deflactor!$BP$300, IF(AND(AU210&gt;=Deflactor!$BQ$301,AU210&lt;Deflactor!$BQ$302), Deflactor!$BP$301, IF(AND(AU210&gt;=Deflactor!$BQ$302,AU210&lt;Deflactor!$BQ$303), Deflactor!$BP$302, IF(AND(AU210&gt;=Deflactor!$BQ$303,AU210&lt;Deflactor!$BQ$304), Deflactor!$BP$303, IF(AND(AU210&gt;=Deflactor!$BQ$304,AU210&lt;Deflactor!$BQ$305), Deflactor!$BP$304, IF(AND(AU210&gt;=Deflactor!$BQ$305,AU210&lt;Deflactor!$BQ$306), Deflactor!$BP$305, IF(AND(AU210&gt;=Deflactor!$BQ$306,AU210&lt;Deflactor!$BQ$307), Deflactor!$BP$306, Deflactor!$BP$307) ) ) ) ) ) ) ) ) )</f>
        <v>10</v>
      </c>
    </row>
    <row r="211" spans="1:48" x14ac:dyDescent="0.25">
      <c r="A211" s="3">
        <v>2011</v>
      </c>
      <c r="B211" s="3" t="s">
        <v>282</v>
      </c>
      <c r="C211" s="3" t="s">
        <v>283</v>
      </c>
      <c r="D211" s="3" t="s">
        <v>54</v>
      </c>
      <c r="E211" s="3" t="s">
        <v>243</v>
      </c>
      <c r="F211" s="3" t="s">
        <v>95</v>
      </c>
      <c r="G211" s="3"/>
      <c r="H211" s="12"/>
      <c r="I211" s="13"/>
      <c r="J211" s="10"/>
      <c r="K211" s="3"/>
      <c r="L211" s="3"/>
      <c r="M211" s="3"/>
      <c r="N211" s="3"/>
      <c r="O211" s="3"/>
      <c r="P211" s="3"/>
      <c r="Q211" s="3"/>
      <c r="R211" s="3"/>
      <c r="S211" s="3"/>
      <c r="T211" s="3"/>
      <c r="U211" s="3"/>
      <c r="V211" s="3"/>
      <c r="W211" s="10" t="str">
        <f>IF( J211="s.i", "s.i", IF(ISBLANK(J211),"Actualizando información",IFERROR(J211 / VLOOKUP(A211,Deflactor!$G$3:$H$64,2,0),"Revisar error" )))</f>
        <v>Actualizando información</v>
      </c>
      <c r="AR211" s="10">
        <f xml:space="preserve"> 6269428 * 1000</f>
        <v>6269428000</v>
      </c>
      <c r="AT211" s="46">
        <f t="shared" si="9"/>
        <v>6269428000</v>
      </c>
      <c r="AU211" s="54">
        <f xml:space="preserve"> IFERROR(ROUND(AT211 / VLOOKUP(A211,Tabla1[#All],2,0),0),"s.i")</f>
        <v>12970406</v>
      </c>
      <c r="AV211" s="33">
        <f xml:space="preserve"> IF(AU211="s.i", "s.i", IF(AND(AU211&gt;=Deflactor!$BQ$298,AU211&lt;Deflactor!$BQ$299), Deflactor!$BP$298, IF(AND(AU211&gt;=Deflactor!$BQ$299,AU211&lt;Deflactor!$BQ$300), Deflactor!$BP$299, IF(AND(AU211&gt;=Deflactor!$BQ$300,AU211&lt;Deflactor!$BQ$301), Deflactor!$BP$300, IF(AND(AU211&gt;=Deflactor!$BQ$301,AU211&lt;Deflactor!$BQ$302), Deflactor!$BP$301, IF(AND(AU211&gt;=Deflactor!$BQ$302,AU211&lt;Deflactor!$BQ$303), Deflactor!$BP$302, IF(AND(AU211&gt;=Deflactor!$BQ$303,AU211&lt;Deflactor!$BQ$304), Deflactor!$BP$303, IF(AND(AU211&gt;=Deflactor!$BQ$304,AU211&lt;Deflactor!$BQ$305), Deflactor!$BP$304, IF(AND(AU211&gt;=Deflactor!$BQ$305,AU211&lt;Deflactor!$BQ$306), Deflactor!$BP$305, IF(AND(AU211&gt;=Deflactor!$BQ$306,AU211&lt;Deflactor!$BQ$307), Deflactor!$BP$306, Deflactor!$BP$307) ) ) ) ) ) ) ) ) )</f>
        <v>5</v>
      </c>
    </row>
    <row r="212" spans="1:48" x14ac:dyDescent="0.25">
      <c r="A212" s="3">
        <v>2011</v>
      </c>
      <c r="B212" s="3" t="s">
        <v>284</v>
      </c>
      <c r="C212" s="3" t="s">
        <v>283</v>
      </c>
      <c r="D212" s="3" t="s">
        <v>64</v>
      </c>
      <c r="E212" s="3" t="s">
        <v>65</v>
      </c>
      <c r="F212" s="3" t="s">
        <v>89</v>
      </c>
      <c r="G212" s="3"/>
      <c r="H212" s="12"/>
      <c r="I212" s="13"/>
      <c r="J212" s="10"/>
      <c r="K212" s="3"/>
      <c r="L212" s="3"/>
      <c r="M212" s="3"/>
      <c r="N212" s="3"/>
      <c r="O212" s="3"/>
      <c r="P212" s="3"/>
      <c r="Q212" s="3"/>
      <c r="R212" s="3"/>
      <c r="S212" s="3"/>
      <c r="T212" s="3"/>
      <c r="U212" s="3"/>
      <c r="V212" s="3"/>
      <c r="W212" s="10" t="str">
        <f>IF( J212="s.i", "s.i", IF(ISBLANK(J212),"Actualizando información",IFERROR(J212 / VLOOKUP(A212,Deflactor!$G$3:$H$64,2,0),"Revisar error" )))</f>
        <v>Actualizando información</v>
      </c>
      <c r="AR212" s="10">
        <f xml:space="preserve"> 20660000 * 1000</f>
        <v>20660000000</v>
      </c>
      <c r="AT212" s="46">
        <f t="shared" si="9"/>
        <v>20660000000</v>
      </c>
      <c r="AU212" s="54">
        <f xml:space="preserve"> IFERROR(ROUND(AT212 / VLOOKUP(A212,Tabla1[#All],2,0),0),"s.i")</f>
        <v>42742111</v>
      </c>
      <c r="AV212" s="33">
        <f xml:space="preserve"> IF(AU212="s.i", "s.i", IF(AND(AU212&gt;=Deflactor!$BQ$298,AU212&lt;Deflactor!$BQ$299), Deflactor!$BP$298, IF(AND(AU212&gt;=Deflactor!$BQ$299,AU212&lt;Deflactor!$BQ$300), Deflactor!$BP$299, IF(AND(AU212&gt;=Deflactor!$BQ$300,AU212&lt;Deflactor!$BQ$301), Deflactor!$BP$300, IF(AND(AU212&gt;=Deflactor!$BQ$301,AU212&lt;Deflactor!$BQ$302), Deflactor!$BP$301, IF(AND(AU212&gt;=Deflactor!$BQ$302,AU212&lt;Deflactor!$BQ$303), Deflactor!$BP$302, IF(AND(AU212&gt;=Deflactor!$BQ$303,AU212&lt;Deflactor!$BQ$304), Deflactor!$BP$303, IF(AND(AU212&gt;=Deflactor!$BQ$304,AU212&lt;Deflactor!$BQ$305), Deflactor!$BP$304, IF(AND(AU212&gt;=Deflactor!$BQ$305,AU212&lt;Deflactor!$BQ$306), Deflactor!$BP$305, IF(AND(AU212&gt;=Deflactor!$BQ$306,AU212&lt;Deflactor!$BQ$307), Deflactor!$BP$306, Deflactor!$BP$307) ) ) ) ) ) ) ) ) )</f>
        <v>8</v>
      </c>
    </row>
    <row r="213" spans="1:48" x14ac:dyDescent="0.25">
      <c r="A213" s="3">
        <v>2011</v>
      </c>
      <c r="B213" s="3" t="s">
        <v>164</v>
      </c>
      <c r="C213" s="3" t="s">
        <v>155</v>
      </c>
      <c r="D213" s="3" t="s">
        <v>164</v>
      </c>
      <c r="E213" s="3" t="s">
        <v>165</v>
      </c>
      <c r="F213" s="3" t="s">
        <v>157</v>
      </c>
      <c r="G213" s="3"/>
      <c r="H213" s="12"/>
      <c r="I213" s="13"/>
      <c r="J213" s="10"/>
      <c r="K213" s="3"/>
      <c r="L213" s="3"/>
      <c r="M213" s="3"/>
      <c r="N213" s="3"/>
      <c r="O213" s="3"/>
      <c r="P213" s="3"/>
      <c r="Q213" s="3"/>
      <c r="R213" s="3"/>
      <c r="S213" s="3"/>
      <c r="T213" s="3"/>
      <c r="U213" s="3"/>
      <c r="V213" s="3"/>
      <c r="W213" s="10" t="str">
        <f>IF( J213="s.i", "s.i", IF(ISBLANK(J213),"Actualizando información",IFERROR(J213 / VLOOKUP(A213,Deflactor!$G$3:$H$64,2,0),"Revisar error" )))</f>
        <v>Actualizando información</v>
      </c>
      <c r="AR213" s="10">
        <f xml:space="preserve"> 22112338 * 1000</f>
        <v>22112338000</v>
      </c>
      <c r="AT213" s="46">
        <f t="shared" si="9"/>
        <v>22112338000</v>
      </c>
      <c r="AU213" s="54">
        <f xml:space="preserve"> IFERROR(ROUND(AT213 / VLOOKUP(A213,Tabla1[#All],2,0),0),"s.i")</f>
        <v>45746758</v>
      </c>
      <c r="AV213" s="33">
        <f xml:space="preserve"> IF(AU213="s.i", "s.i", IF(AND(AU213&gt;=Deflactor!$BQ$298,AU213&lt;Deflactor!$BQ$299), Deflactor!$BP$298, IF(AND(AU213&gt;=Deflactor!$BQ$299,AU213&lt;Deflactor!$BQ$300), Deflactor!$BP$299, IF(AND(AU213&gt;=Deflactor!$BQ$300,AU213&lt;Deflactor!$BQ$301), Deflactor!$BP$300, IF(AND(AU213&gt;=Deflactor!$BQ$301,AU213&lt;Deflactor!$BQ$302), Deflactor!$BP$301, IF(AND(AU213&gt;=Deflactor!$BQ$302,AU213&lt;Deflactor!$BQ$303), Deflactor!$BP$302, IF(AND(AU213&gt;=Deflactor!$BQ$303,AU213&lt;Deflactor!$BQ$304), Deflactor!$BP$303, IF(AND(AU213&gt;=Deflactor!$BQ$304,AU213&lt;Deflactor!$BQ$305), Deflactor!$BP$304, IF(AND(AU213&gt;=Deflactor!$BQ$305,AU213&lt;Deflactor!$BQ$306), Deflactor!$BP$305, IF(AND(AU213&gt;=Deflactor!$BQ$306,AU213&lt;Deflactor!$BQ$307), Deflactor!$BP$306, Deflactor!$BP$307) ) ) ) ) ) ) ) ) )</f>
        <v>8</v>
      </c>
    </row>
    <row r="214" spans="1:48" x14ac:dyDescent="0.25">
      <c r="A214" s="3">
        <v>2011</v>
      </c>
      <c r="B214" s="3" t="s">
        <v>285</v>
      </c>
      <c r="C214" s="3" t="s">
        <v>283</v>
      </c>
      <c r="D214" s="3" t="s">
        <v>36</v>
      </c>
      <c r="E214" s="3" t="s">
        <v>37</v>
      </c>
      <c r="F214" s="3" t="s">
        <v>194</v>
      </c>
      <c r="G214" s="3"/>
      <c r="H214" s="12"/>
      <c r="I214" s="13"/>
      <c r="J214" s="10"/>
      <c r="K214" s="3"/>
      <c r="L214" s="3"/>
      <c r="M214" s="3"/>
      <c r="N214" s="3"/>
      <c r="O214" s="3"/>
      <c r="P214" s="3"/>
      <c r="Q214" s="3"/>
      <c r="R214" s="3"/>
      <c r="S214" s="3"/>
      <c r="T214" s="3"/>
      <c r="U214" s="3"/>
      <c r="V214" s="3"/>
      <c r="W214" s="10" t="str">
        <f>IF( J214="s.i", "s.i", IF(ISBLANK(J214),"Actualizando información",IFERROR(J214 / VLOOKUP(A214,Deflactor!$G$3:$H$64,2,0),"Revisar error" )))</f>
        <v>Actualizando información</v>
      </c>
      <c r="AR214" s="10">
        <f xml:space="preserve"> 13687250 * 1000</f>
        <v>13687250000</v>
      </c>
      <c r="AT214" s="46">
        <f t="shared" si="9"/>
        <v>13687250000</v>
      </c>
      <c r="AU214" s="54">
        <f xml:space="preserve"> IFERROR(ROUND(AT214 / VLOOKUP(A214,Tabla1[#All],2,0),0),"s.i")</f>
        <v>28316649</v>
      </c>
      <c r="AV214" s="33">
        <f xml:space="preserve"> IF(AU214="s.i", "s.i", IF(AND(AU214&gt;=Deflactor!$BQ$298,AU214&lt;Deflactor!$BQ$299), Deflactor!$BP$298, IF(AND(AU214&gt;=Deflactor!$BQ$299,AU214&lt;Deflactor!$BQ$300), Deflactor!$BP$299, IF(AND(AU214&gt;=Deflactor!$BQ$300,AU214&lt;Deflactor!$BQ$301), Deflactor!$BP$300, IF(AND(AU214&gt;=Deflactor!$BQ$301,AU214&lt;Deflactor!$BQ$302), Deflactor!$BP$301, IF(AND(AU214&gt;=Deflactor!$BQ$302,AU214&lt;Deflactor!$BQ$303), Deflactor!$BP$302, IF(AND(AU214&gt;=Deflactor!$BQ$303,AU214&lt;Deflactor!$BQ$304), Deflactor!$BP$303, IF(AND(AU214&gt;=Deflactor!$BQ$304,AU214&lt;Deflactor!$BQ$305), Deflactor!$BP$304, IF(AND(AU214&gt;=Deflactor!$BQ$305,AU214&lt;Deflactor!$BQ$306), Deflactor!$BP$305, IF(AND(AU214&gt;=Deflactor!$BQ$306,AU214&lt;Deflactor!$BQ$307), Deflactor!$BP$306, Deflactor!$BP$307) ) ) ) ) ) ) ) ) )</f>
        <v>7</v>
      </c>
    </row>
    <row r="215" spans="1:48" x14ac:dyDescent="0.25">
      <c r="A215" s="3">
        <v>2011</v>
      </c>
      <c r="B215" s="3" t="s">
        <v>286</v>
      </c>
      <c r="C215" s="3" t="s">
        <v>283</v>
      </c>
      <c r="D215" s="3" t="s">
        <v>12</v>
      </c>
      <c r="E215" s="3" t="s">
        <v>105</v>
      </c>
      <c r="F215" s="3" t="s">
        <v>194</v>
      </c>
      <c r="G215" s="3"/>
      <c r="H215" s="12"/>
      <c r="I215" s="13"/>
      <c r="J215" s="10"/>
      <c r="K215" s="3"/>
      <c r="L215" s="3"/>
      <c r="M215" s="3"/>
      <c r="N215" s="3"/>
      <c r="O215" s="3"/>
      <c r="P215" s="3"/>
      <c r="Q215" s="3"/>
      <c r="R215" s="3"/>
      <c r="S215" s="3"/>
      <c r="T215" s="3"/>
      <c r="U215" s="3"/>
      <c r="V215" s="3"/>
      <c r="W215" s="10" t="str">
        <f>IF( J215="s.i", "s.i", IF(ISBLANK(J215),"Actualizando información",IFERROR(J215 / VLOOKUP(A215,Deflactor!$G$3:$H$64,2,0),"Revisar error" )))</f>
        <v>Actualizando información</v>
      </c>
      <c r="AR215" s="10">
        <f xml:space="preserve"> 8131349 * 1000</f>
        <v>8131349000</v>
      </c>
      <c r="AT215" s="46">
        <f t="shared" si="9"/>
        <v>8131349000</v>
      </c>
      <c r="AU215" s="54">
        <f xml:space="preserve"> IFERROR(ROUND(AT215 / VLOOKUP(A215,Tabla1[#All],2,0),0),"s.i")</f>
        <v>16822412</v>
      </c>
      <c r="AV215" s="33">
        <f xml:space="preserve"> IF(AU215="s.i", "s.i", IF(AND(AU215&gt;=Deflactor!$BQ$298,AU215&lt;Deflactor!$BQ$299), Deflactor!$BP$298, IF(AND(AU215&gt;=Deflactor!$BQ$299,AU215&lt;Deflactor!$BQ$300), Deflactor!$BP$299, IF(AND(AU215&gt;=Deflactor!$BQ$300,AU215&lt;Deflactor!$BQ$301), Deflactor!$BP$300, IF(AND(AU215&gt;=Deflactor!$BQ$301,AU215&lt;Deflactor!$BQ$302), Deflactor!$BP$301, IF(AND(AU215&gt;=Deflactor!$BQ$302,AU215&lt;Deflactor!$BQ$303), Deflactor!$BP$302, IF(AND(AU215&gt;=Deflactor!$BQ$303,AU215&lt;Deflactor!$BQ$304), Deflactor!$BP$303, IF(AND(AU215&gt;=Deflactor!$BQ$304,AU215&lt;Deflactor!$BQ$305), Deflactor!$BP$304, IF(AND(AU215&gt;=Deflactor!$BQ$305,AU215&lt;Deflactor!$BQ$306), Deflactor!$BP$305, IF(AND(AU215&gt;=Deflactor!$BQ$306,AU215&lt;Deflactor!$BQ$307), Deflactor!$BP$306, Deflactor!$BP$307) ) ) ) ) ) ) ) ) )</f>
        <v>6</v>
      </c>
    </row>
    <row r="216" spans="1:48" x14ac:dyDescent="0.25">
      <c r="A216" s="3">
        <v>2011</v>
      </c>
      <c r="B216" s="3" t="s">
        <v>287</v>
      </c>
      <c r="C216" s="3" t="s">
        <v>92</v>
      </c>
      <c r="D216" s="3" t="s">
        <v>8</v>
      </c>
      <c r="E216" s="3" t="s">
        <v>214</v>
      </c>
      <c r="F216" s="3" t="s">
        <v>30</v>
      </c>
      <c r="G216" s="3"/>
      <c r="H216" s="12"/>
      <c r="I216" s="13"/>
      <c r="J216" s="10"/>
      <c r="K216" s="3"/>
      <c r="L216" s="3"/>
      <c r="M216" s="3"/>
      <c r="N216" s="3"/>
      <c r="O216" s="3"/>
      <c r="P216" s="3"/>
      <c r="Q216" s="3"/>
      <c r="R216" s="3"/>
      <c r="S216" s="3"/>
      <c r="T216" s="3"/>
      <c r="U216" s="3"/>
      <c r="V216" s="3"/>
      <c r="W216" s="10" t="str">
        <f>IF( J216="s.i", "s.i", IF(ISBLANK(J216),"Actualizando información",IFERROR(J216 / VLOOKUP(A216,Deflactor!$G$3:$H$64,2,0),"Revisar error" )))</f>
        <v>Actualizando información</v>
      </c>
      <c r="AR216" s="10">
        <f xml:space="preserve"> 9297000 * 1000</f>
        <v>9297000000</v>
      </c>
      <c r="AT216" s="46">
        <f t="shared" si="9"/>
        <v>9297000000</v>
      </c>
      <c r="AU216" s="54">
        <f xml:space="preserve"> IFERROR(ROUND(AT216 / VLOOKUP(A216,Tabla1[#All],2,0),0),"s.i")</f>
        <v>19233950</v>
      </c>
      <c r="AV216" s="33">
        <f xml:space="preserve"> IF(AU216="s.i", "s.i", IF(AND(AU216&gt;=Deflactor!$BQ$298,AU216&lt;Deflactor!$BQ$299), Deflactor!$BP$298, IF(AND(AU216&gt;=Deflactor!$BQ$299,AU216&lt;Deflactor!$BQ$300), Deflactor!$BP$299, IF(AND(AU216&gt;=Deflactor!$BQ$300,AU216&lt;Deflactor!$BQ$301), Deflactor!$BP$300, IF(AND(AU216&gt;=Deflactor!$BQ$301,AU216&lt;Deflactor!$BQ$302), Deflactor!$BP$301, IF(AND(AU216&gt;=Deflactor!$BQ$302,AU216&lt;Deflactor!$BQ$303), Deflactor!$BP$302, IF(AND(AU216&gt;=Deflactor!$BQ$303,AU216&lt;Deflactor!$BQ$304), Deflactor!$BP$303, IF(AND(AU216&gt;=Deflactor!$BQ$304,AU216&lt;Deflactor!$BQ$305), Deflactor!$BP$304, IF(AND(AU216&gt;=Deflactor!$BQ$305,AU216&lt;Deflactor!$BQ$306), Deflactor!$BP$305, IF(AND(AU216&gt;=Deflactor!$BQ$306,AU216&lt;Deflactor!$BQ$307), Deflactor!$BP$306, Deflactor!$BP$307) ) ) ) ) ) ) ) ) )</f>
        <v>6</v>
      </c>
    </row>
    <row r="217" spans="1:48" x14ac:dyDescent="0.25">
      <c r="A217" s="3">
        <v>2011</v>
      </c>
      <c r="B217" s="3" t="s">
        <v>288</v>
      </c>
      <c r="C217" s="3" t="s">
        <v>155</v>
      </c>
      <c r="D217" s="3" t="s">
        <v>40</v>
      </c>
      <c r="E217" s="3" t="s">
        <v>43</v>
      </c>
      <c r="F217" s="3" t="s">
        <v>157</v>
      </c>
      <c r="G217" s="3"/>
      <c r="H217" s="12"/>
      <c r="I217" s="13"/>
      <c r="J217" s="10"/>
      <c r="K217" s="3"/>
      <c r="L217" s="3"/>
      <c r="M217" s="3"/>
      <c r="N217" s="3"/>
      <c r="O217" s="3"/>
      <c r="P217" s="3"/>
      <c r="Q217" s="3"/>
      <c r="R217" s="3"/>
      <c r="S217" s="3"/>
      <c r="T217" s="3"/>
      <c r="U217" s="3"/>
      <c r="V217" s="3"/>
      <c r="W217" s="10" t="str">
        <f>IF( J217="s.i", "s.i", IF(ISBLANK(J217),"Actualizando información",IFERROR(J217 / VLOOKUP(A217,Deflactor!$G$3:$H$64,2,0),"Revisar error" )))</f>
        <v>Actualizando información</v>
      </c>
      <c r="AR217" s="10">
        <f xml:space="preserve"> 143148755 * 1000</f>
        <v>143148755000</v>
      </c>
      <c r="AT217" s="46">
        <f t="shared" si="9"/>
        <v>143148755000</v>
      </c>
      <c r="AU217" s="54">
        <f xml:space="preserve"> IFERROR(ROUND(AT217 / VLOOKUP(A217,Tabla1[#All],2,0),0),"s.i")</f>
        <v>296151018</v>
      </c>
      <c r="AV217" s="33">
        <f xml:space="preserve"> IF(AU217="s.i", "s.i", IF(AND(AU217&gt;=Deflactor!$BQ$298,AU217&lt;Deflactor!$BQ$299), Deflactor!$BP$298, IF(AND(AU217&gt;=Deflactor!$BQ$299,AU217&lt;Deflactor!$BQ$300), Deflactor!$BP$299, IF(AND(AU217&gt;=Deflactor!$BQ$300,AU217&lt;Deflactor!$BQ$301), Deflactor!$BP$300, IF(AND(AU217&gt;=Deflactor!$BQ$301,AU217&lt;Deflactor!$BQ$302), Deflactor!$BP$301, IF(AND(AU217&gt;=Deflactor!$BQ$302,AU217&lt;Deflactor!$BQ$303), Deflactor!$BP$302, IF(AND(AU217&gt;=Deflactor!$BQ$303,AU217&lt;Deflactor!$BQ$304), Deflactor!$BP$303, IF(AND(AU217&gt;=Deflactor!$BQ$304,AU217&lt;Deflactor!$BQ$305), Deflactor!$BP$304, IF(AND(AU217&gt;=Deflactor!$BQ$305,AU217&lt;Deflactor!$BQ$306), Deflactor!$BP$305, IF(AND(AU217&gt;=Deflactor!$BQ$306,AU217&lt;Deflactor!$BQ$307), Deflactor!$BP$306, Deflactor!$BP$307) ) ) ) ) ) ) ) ) )</f>
        <v>10</v>
      </c>
    </row>
    <row r="218" spans="1:48" x14ac:dyDescent="0.25">
      <c r="A218" s="3">
        <v>2011</v>
      </c>
      <c r="B218" s="3" t="s">
        <v>289</v>
      </c>
      <c r="C218" s="3" t="s">
        <v>7</v>
      </c>
      <c r="D218" s="3" t="s">
        <v>290</v>
      </c>
      <c r="E218" s="3" t="s">
        <v>291</v>
      </c>
      <c r="F218" s="3" t="s">
        <v>95</v>
      </c>
      <c r="G218" s="3"/>
      <c r="H218" s="12"/>
      <c r="I218" s="13"/>
      <c r="J218" s="10"/>
      <c r="K218" s="3"/>
      <c r="L218" s="3"/>
      <c r="M218" s="3"/>
      <c r="N218" s="3"/>
      <c r="O218" s="3"/>
      <c r="P218" s="3"/>
      <c r="Q218" s="3"/>
      <c r="R218" s="3"/>
      <c r="S218" s="3"/>
      <c r="T218" s="3"/>
      <c r="U218" s="3"/>
      <c r="V218" s="3"/>
      <c r="W218" s="10" t="str">
        <f>IF( J218="s.i", "s.i", IF(ISBLANK(J218),"Actualizando información",IFERROR(J218 / VLOOKUP(A218,Deflactor!$G$3:$H$64,2,0),"Revisar error" )))</f>
        <v>Actualizando información</v>
      </c>
      <c r="AR218" s="10">
        <f xml:space="preserve"> 13150019 * 1000</f>
        <v>13150019000</v>
      </c>
      <c r="AT218" s="46">
        <f t="shared" si="9"/>
        <v>13150019000</v>
      </c>
      <c r="AU218" s="54">
        <f xml:space="preserve"> IFERROR(ROUND(AT218 / VLOOKUP(A218,Tabla1[#All],2,0),0),"s.i")</f>
        <v>27205207</v>
      </c>
      <c r="AV218" s="33">
        <f xml:space="preserve"> IF(AU218="s.i", "s.i", IF(AND(AU218&gt;=Deflactor!$BQ$298,AU218&lt;Deflactor!$BQ$299), Deflactor!$BP$298, IF(AND(AU218&gt;=Deflactor!$BQ$299,AU218&lt;Deflactor!$BQ$300), Deflactor!$BP$299, IF(AND(AU218&gt;=Deflactor!$BQ$300,AU218&lt;Deflactor!$BQ$301), Deflactor!$BP$300, IF(AND(AU218&gt;=Deflactor!$BQ$301,AU218&lt;Deflactor!$BQ$302), Deflactor!$BP$301, IF(AND(AU218&gt;=Deflactor!$BQ$302,AU218&lt;Deflactor!$BQ$303), Deflactor!$BP$302, IF(AND(AU218&gt;=Deflactor!$BQ$303,AU218&lt;Deflactor!$BQ$304), Deflactor!$BP$303, IF(AND(AU218&gt;=Deflactor!$BQ$304,AU218&lt;Deflactor!$BQ$305), Deflactor!$BP$304, IF(AND(AU218&gt;=Deflactor!$BQ$305,AU218&lt;Deflactor!$BQ$306), Deflactor!$BP$305, IF(AND(AU218&gt;=Deflactor!$BQ$306,AU218&lt;Deflactor!$BQ$307), Deflactor!$BP$306, Deflactor!$BP$307) ) ) ) ) ) ) ) ) )</f>
        <v>7</v>
      </c>
    </row>
    <row r="219" spans="1:48" x14ac:dyDescent="0.25">
      <c r="A219" s="3">
        <v>2011</v>
      </c>
      <c r="B219" s="3" t="s">
        <v>292</v>
      </c>
      <c r="C219" s="3" t="s">
        <v>92</v>
      </c>
      <c r="D219" s="3" t="s">
        <v>36</v>
      </c>
      <c r="E219" s="3" t="s">
        <v>81</v>
      </c>
      <c r="F219" s="3" t="s">
        <v>89</v>
      </c>
      <c r="G219" s="3"/>
      <c r="H219" s="12"/>
      <c r="I219" s="13"/>
      <c r="J219" s="10"/>
      <c r="K219" s="3"/>
      <c r="L219" s="3"/>
      <c r="M219" s="3"/>
      <c r="N219" s="3"/>
      <c r="O219" s="3"/>
      <c r="P219" s="3"/>
      <c r="Q219" s="3"/>
      <c r="R219" s="3"/>
      <c r="S219" s="3"/>
      <c r="T219" s="3"/>
      <c r="U219" s="3"/>
      <c r="V219" s="3"/>
      <c r="W219" s="10" t="str">
        <f>IF( J219="s.i", "s.i", IF(ISBLANK(J219),"Actualizando información",IFERROR(J219 / VLOOKUP(A219,Deflactor!$G$3:$H$64,2,0),"Revisar error" )))</f>
        <v>Actualizando información</v>
      </c>
      <c r="AR219" s="10">
        <f xml:space="preserve"> 15537429 * 1000</f>
        <v>15537429000</v>
      </c>
      <c r="AT219" s="46">
        <f t="shared" si="9"/>
        <v>15537429000</v>
      </c>
      <c r="AU219" s="54">
        <f xml:space="preserve"> IFERROR(ROUND(AT219 / VLOOKUP(A219,Tabla1[#All],2,0),0),"s.i")</f>
        <v>32144362</v>
      </c>
      <c r="AV219" s="33">
        <f xml:space="preserve"> IF(AU219="s.i", "s.i", IF(AND(AU219&gt;=Deflactor!$BQ$298,AU219&lt;Deflactor!$BQ$299), Deflactor!$BP$298, IF(AND(AU219&gt;=Deflactor!$BQ$299,AU219&lt;Deflactor!$BQ$300), Deflactor!$BP$299, IF(AND(AU219&gt;=Deflactor!$BQ$300,AU219&lt;Deflactor!$BQ$301), Deflactor!$BP$300, IF(AND(AU219&gt;=Deflactor!$BQ$301,AU219&lt;Deflactor!$BQ$302), Deflactor!$BP$301, IF(AND(AU219&gt;=Deflactor!$BQ$302,AU219&lt;Deflactor!$BQ$303), Deflactor!$BP$302, IF(AND(AU219&gt;=Deflactor!$BQ$303,AU219&lt;Deflactor!$BQ$304), Deflactor!$BP$303, IF(AND(AU219&gt;=Deflactor!$BQ$304,AU219&lt;Deflactor!$BQ$305), Deflactor!$BP$304, IF(AND(AU219&gt;=Deflactor!$BQ$305,AU219&lt;Deflactor!$BQ$306), Deflactor!$BP$305, IF(AND(AU219&gt;=Deflactor!$BQ$306,AU219&lt;Deflactor!$BQ$307), Deflactor!$BP$306, Deflactor!$BP$307) ) ) ) ) ) ) ) ) )</f>
        <v>8</v>
      </c>
    </row>
    <row r="220" spans="1:48" x14ac:dyDescent="0.25">
      <c r="A220" s="3">
        <v>2011</v>
      </c>
      <c r="B220" s="3" t="s">
        <v>293</v>
      </c>
      <c r="C220" s="3" t="s">
        <v>92</v>
      </c>
      <c r="D220" s="3" t="s">
        <v>36</v>
      </c>
      <c r="E220" s="3" t="s">
        <v>81</v>
      </c>
      <c r="F220" s="3" t="s">
        <v>89</v>
      </c>
      <c r="G220" s="3"/>
      <c r="H220" s="12"/>
      <c r="I220" s="13"/>
      <c r="J220" s="10"/>
      <c r="K220" s="3"/>
      <c r="L220" s="3"/>
      <c r="M220" s="3"/>
      <c r="N220" s="3"/>
      <c r="O220" s="3"/>
      <c r="P220" s="3"/>
      <c r="Q220" s="3"/>
      <c r="R220" s="3"/>
      <c r="S220" s="3"/>
      <c r="T220" s="3"/>
      <c r="U220" s="3"/>
      <c r="V220" s="3"/>
      <c r="W220" s="10" t="str">
        <f>IF( J220="s.i", "s.i", IF(ISBLANK(J220),"Actualizando información",IFERROR(J220 / VLOOKUP(A220,Deflactor!$G$3:$H$64,2,0),"Revisar error" )))</f>
        <v>Actualizando información</v>
      </c>
      <c r="AR220" s="10">
        <f xml:space="preserve"> 79244338 * 1000</f>
        <v>79244338000</v>
      </c>
      <c r="AT220" s="46">
        <f t="shared" si="9"/>
        <v>79244338000</v>
      </c>
      <c r="AU220" s="54">
        <f xml:space="preserve"> IFERROR(ROUND(AT220 / VLOOKUP(A220,Tabla1[#All],2,0),0),"s.i")</f>
        <v>163943385</v>
      </c>
      <c r="AV220" s="33">
        <f xml:space="preserve"> IF(AU220="s.i", "s.i", IF(AND(AU220&gt;=Deflactor!$BQ$298,AU220&lt;Deflactor!$BQ$299), Deflactor!$BP$298, IF(AND(AU220&gt;=Deflactor!$BQ$299,AU220&lt;Deflactor!$BQ$300), Deflactor!$BP$299, IF(AND(AU220&gt;=Deflactor!$BQ$300,AU220&lt;Deflactor!$BQ$301), Deflactor!$BP$300, IF(AND(AU220&gt;=Deflactor!$BQ$301,AU220&lt;Deflactor!$BQ$302), Deflactor!$BP$301, IF(AND(AU220&gt;=Deflactor!$BQ$302,AU220&lt;Deflactor!$BQ$303), Deflactor!$BP$302, IF(AND(AU220&gt;=Deflactor!$BQ$303,AU220&lt;Deflactor!$BQ$304), Deflactor!$BP$303, IF(AND(AU220&gt;=Deflactor!$BQ$304,AU220&lt;Deflactor!$BQ$305), Deflactor!$BP$304, IF(AND(AU220&gt;=Deflactor!$BQ$305,AU220&lt;Deflactor!$BQ$306), Deflactor!$BP$305, IF(AND(AU220&gt;=Deflactor!$BQ$306,AU220&lt;Deflactor!$BQ$307), Deflactor!$BP$306, Deflactor!$BP$307) ) ) ) ) ) ) ) ) )</f>
        <v>10</v>
      </c>
    </row>
    <row r="221" spans="1:48" x14ac:dyDescent="0.25">
      <c r="A221" s="3">
        <v>2011</v>
      </c>
      <c r="B221" s="3" t="s">
        <v>294</v>
      </c>
      <c r="C221" s="3" t="s">
        <v>92</v>
      </c>
      <c r="D221" s="3" t="s">
        <v>36</v>
      </c>
      <c r="E221" s="3" t="s">
        <v>81</v>
      </c>
      <c r="F221" s="3" t="s">
        <v>89</v>
      </c>
      <c r="G221" s="3"/>
      <c r="H221" s="12"/>
      <c r="I221" s="13"/>
      <c r="J221" s="10"/>
      <c r="K221" s="3"/>
      <c r="L221" s="3"/>
      <c r="M221" s="3"/>
      <c r="N221" s="3"/>
      <c r="O221" s="3"/>
      <c r="P221" s="3"/>
      <c r="Q221" s="3"/>
      <c r="R221" s="3"/>
      <c r="S221" s="3"/>
      <c r="T221" s="3"/>
      <c r="U221" s="3"/>
      <c r="V221" s="3"/>
      <c r="W221" s="10" t="str">
        <f>IF( J221="s.i", "s.i", IF(ISBLANK(J221),"Actualizando información",IFERROR(J221 / VLOOKUP(A221,Deflactor!$G$3:$H$64,2,0),"Revisar error" )))</f>
        <v>Actualizando información</v>
      </c>
      <c r="AR221" s="10">
        <f xml:space="preserve"> 15552470 * 1000</f>
        <v>15552470000</v>
      </c>
      <c r="AT221" s="46">
        <f t="shared" si="9"/>
        <v>15552470000</v>
      </c>
      <c r="AU221" s="54">
        <f xml:space="preserve"> IFERROR(ROUND(AT221 / VLOOKUP(A221,Tabla1[#All],2,0),0),"s.i")</f>
        <v>32175479</v>
      </c>
      <c r="AV221" s="33">
        <f xml:space="preserve"> IF(AU221="s.i", "s.i", IF(AND(AU221&gt;=Deflactor!$BQ$298,AU221&lt;Deflactor!$BQ$299), Deflactor!$BP$298, IF(AND(AU221&gt;=Deflactor!$BQ$299,AU221&lt;Deflactor!$BQ$300), Deflactor!$BP$299, IF(AND(AU221&gt;=Deflactor!$BQ$300,AU221&lt;Deflactor!$BQ$301), Deflactor!$BP$300, IF(AND(AU221&gt;=Deflactor!$BQ$301,AU221&lt;Deflactor!$BQ$302), Deflactor!$BP$301, IF(AND(AU221&gt;=Deflactor!$BQ$302,AU221&lt;Deflactor!$BQ$303), Deflactor!$BP$302, IF(AND(AU221&gt;=Deflactor!$BQ$303,AU221&lt;Deflactor!$BQ$304), Deflactor!$BP$303, IF(AND(AU221&gt;=Deflactor!$BQ$304,AU221&lt;Deflactor!$BQ$305), Deflactor!$BP$304, IF(AND(AU221&gt;=Deflactor!$BQ$305,AU221&lt;Deflactor!$BQ$306), Deflactor!$BP$305, IF(AND(AU221&gt;=Deflactor!$BQ$306,AU221&lt;Deflactor!$BQ$307), Deflactor!$BP$306, Deflactor!$BP$307) ) ) ) ) ) ) ) ) )</f>
        <v>8</v>
      </c>
    </row>
    <row r="222" spans="1:48" x14ac:dyDescent="0.25">
      <c r="A222" s="3">
        <v>2011</v>
      </c>
      <c r="B222" s="3" t="s">
        <v>295</v>
      </c>
      <c r="C222" s="3" t="s">
        <v>92</v>
      </c>
      <c r="D222" s="3" t="s">
        <v>36</v>
      </c>
      <c r="E222" s="3" t="s">
        <v>81</v>
      </c>
      <c r="F222" s="3" t="s">
        <v>89</v>
      </c>
      <c r="G222" s="3"/>
      <c r="H222" s="12"/>
      <c r="I222" s="13"/>
      <c r="J222" s="10"/>
      <c r="K222" s="3"/>
      <c r="L222" s="3"/>
      <c r="M222" s="3"/>
      <c r="N222" s="3"/>
      <c r="O222" s="3"/>
      <c r="P222" s="3"/>
      <c r="Q222" s="3"/>
      <c r="R222" s="3"/>
      <c r="S222" s="3"/>
      <c r="T222" s="3"/>
      <c r="U222" s="3"/>
      <c r="V222" s="3"/>
      <c r="W222" s="10" t="str">
        <f>IF( J222="s.i", "s.i", IF(ISBLANK(J222),"Actualizando información",IFERROR(J222 / VLOOKUP(A222,Deflactor!$G$3:$H$64,2,0),"Revisar error" )))</f>
        <v>Actualizando información</v>
      </c>
      <c r="AR222" s="10">
        <f xml:space="preserve"> 175893053 * 1000</f>
        <v>175893053000</v>
      </c>
      <c r="AT222" s="46">
        <f t="shared" si="9"/>
        <v>175893053000</v>
      </c>
      <c r="AU222" s="54">
        <f xml:space="preserve"> IFERROR(ROUND(AT222 / VLOOKUP(A222,Tabla1[#All],2,0),0),"s.i")</f>
        <v>363893537</v>
      </c>
      <c r="AV222" s="33">
        <f xml:space="preserve"> IF(AU222="s.i", "s.i", IF(AND(AU222&gt;=Deflactor!$BQ$298,AU222&lt;Deflactor!$BQ$299), Deflactor!$BP$298, IF(AND(AU222&gt;=Deflactor!$BQ$299,AU222&lt;Deflactor!$BQ$300), Deflactor!$BP$299, IF(AND(AU222&gt;=Deflactor!$BQ$300,AU222&lt;Deflactor!$BQ$301), Deflactor!$BP$300, IF(AND(AU222&gt;=Deflactor!$BQ$301,AU222&lt;Deflactor!$BQ$302), Deflactor!$BP$301, IF(AND(AU222&gt;=Deflactor!$BQ$302,AU222&lt;Deflactor!$BQ$303), Deflactor!$BP$302, IF(AND(AU222&gt;=Deflactor!$BQ$303,AU222&lt;Deflactor!$BQ$304), Deflactor!$BP$303, IF(AND(AU222&gt;=Deflactor!$BQ$304,AU222&lt;Deflactor!$BQ$305), Deflactor!$BP$304, IF(AND(AU222&gt;=Deflactor!$BQ$305,AU222&lt;Deflactor!$BQ$306), Deflactor!$BP$305, IF(AND(AU222&gt;=Deflactor!$BQ$306,AU222&lt;Deflactor!$BQ$307), Deflactor!$BP$306, Deflactor!$BP$307) ) ) ) ) ) ) ) ) )</f>
        <v>10</v>
      </c>
    </row>
    <row r="223" spans="1:48" x14ac:dyDescent="0.25">
      <c r="A223" s="3">
        <v>2011</v>
      </c>
      <c r="B223" s="3" t="s">
        <v>296</v>
      </c>
      <c r="C223" s="3" t="s">
        <v>7</v>
      </c>
      <c r="D223" s="3" t="s">
        <v>290</v>
      </c>
      <c r="E223" s="3" t="s">
        <v>291</v>
      </c>
      <c r="F223" s="3" t="s">
        <v>95</v>
      </c>
      <c r="G223" s="3"/>
      <c r="H223" s="12"/>
      <c r="I223" s="13"/>
      <c r="J223" s="10">
        <f xml:space="preserve"> 2954723 * 1000000</f>
        <v>2954723000000</v>
      </c>
      <c r="K223" s="3"/>
      <c r="L223" s="3"/>
      <c r="M223" s="3"/>
      <c r="N223" s="3"/>
      <c r="O223" s="3"/>
      <c r="P223" s="3"/>
      <c r="Q223" s="3"/>
      <c r="R223" s="3"/>
      <c r="S223" s="3"/>
      <c r="T223" s="3"/>
      <c r="U223" s="3"/>
      <c r="V223" s="3"/>
      <c r="W223" s="10">
        <f>IF( J223="s.i", "s.i", IF(ISBLANK(J223),"Actualizando información",IFERROR(J223 / VLOOKUP(A223,Deflactor!$G$3:$H$64,2,0),"Revisar error" )))</f>
        <v>3047180580507.9009</v>
      </c>
      <c r="AR223" s="34">
        <f xml:space="preserve"> 2954723 * 1000</f>
        <v>2954723000</v>
      </c>
      <c r="AT223" s="46">
        <f t="shared" si="9"/>
        <v>2954723000</v>
      </c>
      <c r="AU223" s="54">
        <f xml:space="preserve"> IFERROR(ROUND(AT223 / VLOOKUP(A223,Tabla1[#All],2,0),0),"s.i")</f>
        <v>6112832</v>
      </c>
      <c r="AV223" s="33">
        <f xml:space="preserve"> IF(AU223="s.i", "s.i", IF(AND(AU223&gt;=Deflactor!$BQ$298,AU223&lt;Deflactor!$BQ$299), Deflactor!$BP$298, IF(AND(AU223&gt;=Deflactor!$BQ$299,AU223&lt;Deflactor!$BQ$300), Deflactor!$BP$299, IF(AND(AU223&gt;=Deflactor!$BQ$300,AU223&lt;Deflactor!$BQ$301), Deflactor!$BP$300, IF(AND(AU223&gt;=Deflactor!$BQ$301,AU223&lt;Deflactor!$BQ$302), Deflactor!$BP$301, IF(AND(AU223&gt;=Deflactor!$BQ$302,AU223&lt;Deflactor!$BQ$303), Deflactor!$BP$302, IF(AND(AU223&gt;=Deflactor!$BQ$303,AU223&lt;Deflactor!$BQ$304), Deflactor!$BP$303, IF(AND(AU223&gt;=Deflactor!$BQ$304,AU223&lt;Deflactor!$BQ$305), Deflactor!$BP$304, IF(AND(AU223&gt;=Deflactor!$BQ$305,AU223&lt;Deflactor!$BQ$306), Deflactor!$BP$305, IF(AND(AU223&gt;=Deflactor!$BQ$306,AU223&lt;Deflactor!$BQ$307), Deflactor!$BP$306, Deflactor!$BP$307) ) ) ) ) ) ) ) ) )</f>
        <v>3</v>
      </c>
    </row>
    <row r="224" spans="1:48" x14ac:dyDescent="0.25">
      <c r="A224" s="3">
        <v>2011</v>
      </c>
      <c r="B224" s="3" t="s">
        <v>297</v>
      </c>
      <c r="C224" s="3" t="s">
        <v>283</v>
      </c>
      <c r="D224" s="3" t="s">
        <v>20</v>
      </c>
      <c r="E224" s="3" t="s">
        <v>23</v>
      </c>
      <c r="F224" s="3" t="s">
        <v>194</v>
      </c>
      <c r="G224" s="3"/>
      <c r="H224" s="12"/>
      <c r="I224" s="13"/>
      <c r="J224" s="10"/>
      <c r="K224" s="3"/>
      <c r="L224" s="3"/>
      <c r="M224" s="3"/>
      <c r="N224" s="3"/>
      <c r="O224" s="3"/>
      <c r="P224" s="3"/>
      <c r="Q224" s="3"/>
      <c r="R224" s="3"/>
      <c r="S224" s="3"/>
      <c r="T224" s="3"/>
      <c r="U224" s="3"/>
      <c r="V224" s="3"/>
      <c r="W224" s="10" t="str">
        <f>IF( J224="s.i", "s.i", IF(ISBLANK(J224),"Actualizando información",IFERROR(J224 / VLOOKUP(A224,Deflactor!$G$3:$H$64,2,0),"Revisar error" )))</f>
        <v>Actualizando información</v>
      </c>
      <c r="AR224" s="10">
        <f xml:space="preserve"> 64046000 * 1000</f>
        <v>64046000000</v>
      </c>
      <c r="AT224" s="46">
        <f t="shared" si="9"/>
        <v>64046000000</v>
      </c>
      <c r="AU224" s="54">
        <f xml:space="preserve"> IFERROR(ROUND(AT224 / VLOOKUP(A224,Tabla1[#All],2,0),0),"s.i")</f>
        <v>132500546</v>
      </c>
      <c r="AV224" s="33">
        <f xml:space="preserve"> IF(AU224="s.i", "s.i", IF(AND(AU224&gt;=Deflactor!$BQ$298,AU224&lt;Deflactor!$BQ$299), Deflactor!$BP$298, IF(AND(AU224&gt;=Deflactor!$BQ$299,AU224&lt;Deflactor!$BQ$300), Deflactor!$BP$299, IF(AND(AU224&gt;=Deflactor!$BQ$300,AU224&lt;Deflactor!$BQ$301), Deflactor!$BP$300, IF(AND(AU224&gt;=Deflactor!$BQ$301,AU224&lt;Deflactor!$BQ$302), Deflactor!$BP$301, IF(AND(AU224&gt;=Deflactor!$BQ$302,AU224&lt;Deflactor!$BQ$303), Deflactor!$BP$302, IF(AND(AU224&gt;=Deflactor!$BQ$303,AU224&lt;Deflactor!$BQ$304), Deflactor!$BP$303, IF(AND(AU224&gt;=Deflactor!$BQ$304,AU224&lt;Deflactor!$BQ$305), Deflactor!$BP$304, IF(AND(AU224&gt;=Deflactor!$BQ$305,AU224&lt;Deflactor!$BQ$306), Deflactor!$BP$305, IF(AND(AU224&gt;=Deflactor!$BQ$306,AU224&lt;Deflactor!$BQ$307), Deflactor!$BP$306, Deflactor!$BP$307) ) ) ) ) ) ) ) ) )</f>
        <v>10</v>
      </c>
    </row>
    <row r="225" spans="1:48" x14ac:dyDescent="0.25">
      <c r="A225" s="3">
        <v>2011</v>
      </c>
      <c r="B225" s="3" t="s">
        <v>298</v>
      </c>
      <c r="C225" s="3" t="s">
        <v>7</v>
      </c>
      <c r="D225" s="3" t="s">
        <v>32</v>
      </c>
      <c r="E225" s="3" t="s">
        <v>33</v>
      </c>
      <c r="F225" s="3" t="s">
        <v>95</v>
      </c>
      <c r="G225" s="3"/>
      <c r="H225" s="12"/>
      <c r="I225" s="13"/>
      <c r="J225" s="10"/>
      <c r="K225" s="3"/>
      <c r="L225" s="3"/>
      <c r="M225" s="3"/>
      <c r="N225" s="3"/>
      <c r="O225" s="3"/>
      <c r="P225" s="3"/>
      <c r="Q225" s="3"/>
      <c r="R225" s="3"/>
      <c r="S225" s="3"/>
      <c r="T225" s="3"/>
      <c r="U225" s="3"/>
      <c r="V225" s="3"/>
      <c r="W225" s="10" t="str">
        <f>IF( J225="s.i", "s.i", IF(ISBLANK(J225),"Actualizando información",IFERROR(J225 / VLOOKUP(A225,Deflactor!$G$3:$H$64,2,0),"Revisar error" )))</f>
        <v>Actualizando información</v>
      </c>
      <c r="AR225" s="10">
        <f xml:space="preserve"> (1050218 + 2230585 + 524704 + 3427304 + 7631196 + 10088461 + 19272077 + 21801521 + 6126315 + 3805890 + 745520 + 668509 + 33214653 + 1398536 + 430755) * 1000</f>
        <v>112416244000</v>
      </c>
      <c r="AT225" s="46">
        <f t="shared" si="9"/>
        <v>112416244000</v>
      </c>
      <c r="AU225" s="54">
        <f xml:space="preserve"> IFERROR(ROUND(AT225 / VLOOKUP(A225,Tabla1[#All],2,0),0),"s.i")</f>
        <v>232570553</v>
      </c>
      <c r="AV225" s="33">
        <f xml:space="preserve"> IF(AU225="s.i", "s.i", IF(AND(AU225&gt;=Deflactor!$BQ$298,AU225&lt;Deflactor!$BQ$299), Deflactor!$BP$298, IF(AND(AU225&gt;=Deflactor!$BQ$299,AU225&lt;Deflactor!$BQ$300), Deflactor!$BP$299, IF(AND(AU225&gt;=Deflactor!$BQ$300,AU225&lt;Deflactor!$BQ$301), Deflactor!$BP$300, IF(AND(AU225&gt;=Deflactor!$BQ$301,AU225&lt;Deflactor!$BQ$302), Deflactor!$BP$301, IF(AND(AU225&gt;=Deflactor!$BQ$302,AU225&lt;Deflactor!$BQ$303), Deflactor!$BP$302, IF(AND(AU225&gt;=Deflactor!$BQ$303,AU225&lt;Deflactor!$BQ$304), Deflactor!$BP$303, IF(AND(AU225&gt;=Deflactor!$BQ$304,AU225&lt;Deflactor!$BQ$305), Deflactor!$BP$304, IF(AND(AU225&gt;=Deflactor!$BQ$305,AU225&lt;Deflactor!$BQ$306), Deflactor!$BP$305, IF(AND(AU225&gt;=Deflactor!$BQ$306,AU225&lt;Deflactor!$BQ$307), Deflactor!$BP$306, Deflactor!$BP$307) ) ) ) ) ) ) ) ) )</f>
        <v>10</v>
      </c>
    </row>
    <row r="226" spans="1:48" x14ac:dyDescent="0.25">
      <c r="A226" s="3">
        <v>2011</v>
      </c>
      <c r="B226" s="3" t="s">
        <v>299</v>
      </c>
      <c r="C226" s="3" t="s">
        <v>7</v>
      </c>
      <c r="D226" s="3" t="s">
        <v>12</v>
      </c>
      <c r="E226" s="3" t="s">
        <v>13</v>
      </c>
      <c r="F226" s="3" t="s">
        <v>95</v>
      </c>
      <c r="G226" s="3"/>
      <c r="H226" s="12"/>
      <c r="I226" s="13"/>
      <c r="J226" s="10"/>
      <c r="K226" s="3"/>
      <c r="L226" s="3"/>
      <c r="M226" s="3"/>
      <c r="N226" s="3"/>
      <c r="O226" s="3"/>
      <c r="P226" s="3"/>
      <c r="Q226" s="3"/>
      <c r="R226" s="3"/>
      <c r="S226" s="3"/>
      <c r="T226" s="3"/>
      <c r="U226" s="3" t="s">
        <v>1324</v>
      </c>
      <c r="V226" s="3"/>
      <c r="W226" s="10" t="str">
        <f>IF( J226="s.i", "s.i", IF(ISBLANK(J226),"Actualizando información",IFERROR(J226 / VLOOKUP(A226,Deflactor!$G$3:$H$64,2,0),"Revisar error" )))</f>
        <v>Actualizando información</v>
      </c>
      <c r="AR226" s="10">
        <f xml:space="preserve"> 11378638 * 1000</f>
        <v>11378638000</v>
      </c>
      <c r="AT226" s="46">
        <f t="shared" si="9"/>
        <v>11378638000</v>
      </c>
      <c r="AU226" s="54">
        <f xml:space="preserve"> IFERROR(ROUND(AT226 / VLOOKUP(A226,Tabla1[#All],2,0),0),"s.i")</f>
        <v>23540514</v>
      </c>
      <c r="AV226" s="33">
        <f xml:space="preserve"> IF(AU226="s.i", "s.i", IF(AND(AU226&gt;=Deflactor!$BQ$298,AU226&lt;Deflactor!$BQ$299), Deflactor!$BP$298, IF(AND(AU226&gt;=Deflactor!$BQ$299,AU226&lt;Deflactor!$BQ$300), Deflactor!$BP$299, IF(AND(AU226&gt;=Deflactor!$BQ$300,AU226&lt;Deflactor!$BQ$301), Deflactor!$BP$300, IF(AND(AU226&gt;=Deflactor!$BQ$301,AU226&lt;Deflactor!$BQ$302), Deflactor!$BP$301, IF(AND(AU226&gt;=Deflactor!$BQ$302,AU226&lt;Deflactor!$BQ$303), Deflactor!$BP$302, IF(AND(AU226&gt;=Deflactor!$BQ$303,AU226&lt;Deflactor!$BQ$304), Deflactor!$BP$303, IF(AND(AU226&gt;=Deflactor!$BQ$304,AU226&lt;Deflactor!$BQ$305), Deflactor!$BP$304, IF(AND(AU226&gt;=Deflactor!$BQ$305,AU226&lt;Deflactor!$BQ$306), Deflactor!$BP$305, IF(AND(AU226&gt;=Deflactor!$BQ$306,AU226&lt;Deflactor!$BQ$307), Deflactor!$BP$306, Deflactor!$BP$307) ) ) ) ) ) ) ) ) )</f>
        <v>7</v>
      </c>
    </row>
    <row r="227" spans="1:48" x14ac:dyDescent="0.25">
      <c r="A227" s="3">
        <v>2011</v>
      </c>
      <c r="B227" s="3" t="s">
        <v>300</v>
      </c>
      <c r="C227" s="3" t="s">
        <v>7</v>
      </c>
      <c r="D227" s="3" t="s">
        <v>12</v>
      </c>
      <c r="E227" s="3" t="s">
        <v>13</v>
      </c>
      <c r="F227" s="3" t="s">
        <v>89</v>
      </c>
      <c r="G227" s="3"/>
      <c r="H227" s="12"/>
      <c r="I227" s="13"/>
      <c r="J227" s="10"/>
      <c r="K227" s="30" t="s">
        <v>2280</v>
      </c>
      <c r="L227" s="3"/>
      <c r="M227" s="3"/>
      <c r="N227" s="3"/>
      <c r="O227" s="3"/>
      <c r="P227" s="3"/>
      <c r="Q227" s="3"/>
      <c r="R227" s="3"/>
      <c r="S227" s="3"/>
      <c r="T227" s="3"/>
      <c r="U227" s="3" t="s">
        <v>1328</v>
      </c>
      <c r="V227" s="3"/>
      <c r="W227" s="10" t="str">
        <f>IF( J227="s.i", "s.i", IF(ISBLANK(J227),"Actualizando información",IFERROR(J227 / VLOOKUP(A227,Deflactor!$G$3:$H$64,2,0),"Revisar error" )))</f>
        <v>Actualizando información</v>
      </c>
      <c r="AR227" s="10">
        <f xml:space="preserve"> 31324033 * 1000</f>
        <v>31324033000</v>
      </c>
      <c r="AT227" s="46">
        <f t="shared" si="9"/>
        <v>31324033000</v>
      </c>
      <c r="AU227" s="54">
        <f xml:space="preserve"> IFERROR(ROUND(AT227 / VLOOKUP(A227,Tabla1[#All],2,0),0),"s.i")</f>
        <v>64804226</v>
      </c>
      <c r="AV227" s="33">
        <f xml:space="preserve"> IF(AU227="s.i", "s.i", IF(AND(AU227&gt;=Deflactor!$BQ$298,AU227&lt;Deflactor!$BQ$299), Deflactor!$BP$298, IF(AND(AU227&gt;=Deflactor!$BQ$299,AU227&lt;Deflactor!$BQ$300), Deflactor!$BP$299, IF(AND(AU227&gt;=Deflactor!$BQ$300,AU227&lt;Deflactor!$BQ$301), Deflactor!$BP$300, IF(AND(AU227&gt;=Deflactor!$BQ$301,AU227&lt;Deflactor!$BQ$302), Deflactor!$BP$301, IF(AND(AU227&gt;=Deflactor!$BQ$302,AU227&lt;Deflactor!$BQ$303), Deflactor!$BP$302, IF(AND(AU227&gt;=Deflactor!$BQ$303,AU227&lt;Deflactor!$BQ$304), Deflactor!$BP$303, IF(AND(AU227&gt;=Deflactor!$BQ$304,AU227&lt;Deflactor!$BQ$305), Deflactor!$BP$304, IF(AND(AU227&gt;=Deflactor!$BQ$305,AU227&lt;Deflactor!$BQ$306), Deflactor!$BP$305, IF(AND(AU227&gt;=Deflactor!$BQ$306,AU227&lt;Deflactor!$BQ$307), Deflactor!$BP$306, Deflactor!$BP$307) ) ) ) ) ) ) ) ) )</f>
        <v>9</v>
      </c>
    </row>
    <row r="228" spans="1:48" x14ac:dyDescent="0.25">
      <c r="A228" s="3">
        <v>2011</v>
      </c>
      <c r="B228" s="3" t="s">
        <v>301</v>
      </c>
      <c r="C228" s="3" t="s">
        <v>7</v>
      </c>
      <c r="D228" s="3" t="s">
        <v>12</v>
      </c>
      <c r="E228" s="3" t="s">
        <v>105</v>
      </c>
      <c r="F228" s="3" t="s">
        <v>194</v>
      </c>
      <c r="G228" s="3"/>
      <c r="H228" s="12"/>
      <c r="I228" s="13"/>
      <c r="J228" s="10"/>
      <c r="K228" s="3"/>
      <c r="L228" s="3"/>
      <c r="M228" s="3"/>
      <c r="N228" s="3"/>
      <c r="O228" s="3"/>
      <c r="P228" s="3"/>
      <c r="Q228" s="3"/>
      <c r="R228" s="3"/>
      <c r="S228" s="3"/>
      <c r="T228" s="3"/>
      <c r="U228" s="3"/>
      <c r="V228" s="3"/>
      <c r="W228" s="10" t="str">
        <f>IF( J228="s.i", "s.i", IF(ISBLANK(J228),"Actualizando información",IFERROR(J228 / VLOOKUP(A228,Deflactor!$G$3:$H$64,2,0),"Revisar error" )))</f>
        <v>Actualizando información</v>
      </c>
      <c r="AR228" s="34">
        <f xml:space="preserve"> 1272553 * 1000</f>
        <v>1272553000</v>
      </c>
      <c r="AT228" s="46">
        <f t="shared" si="9"/>
        <v>1272553000</v>
      </c>
      <c r="AU228" s="54">
        <f xml:space="preserve"> IFERROR(ROUND(AT228 / VLOOKUP(A228,Tabla1[#All],2,0),0),"s.i")</f>
        <v>2632701</v>
      </c>
      <c r="AV228" s="33">
        <f xml:space="preserve"> IF(AU228="s.i", "s.i", IF(AND(AU228&gt;=Deflactor!$BQ$298,AU228&lt;Deflactor!$BQ$299), Deflactor!$BP$298, IF(AND(AU228&gt;=Deflactor!$BQ$299,AU228&lt;Deflactor!$BQ$300), Deflactor!$BP$299, IF(AND(AU228&gt;=Deflactor!$BQ$300,AU228&lt;Deflactor!$BQ$301), Deflactor!$BP$300, IF(AND(AU228&gt;=Deflactor!$BQ$301,AU228&lt;Deflactor!$BQ$302), Deflactor!$BP$301, IF(AND(AU228&gt;=Deflactor!$BQ$302,AU228&lt;Deflactor!$BQ$303), Deflactor!$BP$302, IF(AND(AU228&gt;=Deflactor!$BQ$303,AU228&lt;Deflactor!$BQ$304), Deflactor!$BP$303, IF(AND(AU228&gt;=Deflactor!$BQ$304,AU228&lt;Deflactor!$BQ$305), Deflactor!$BP$304, IF(AND(AU228&gt;=Deflactor!$BQ$305,AU228&lt;Deflactor!$BQ$306), Deflactor!$BP$305, IF(AND(AU228&gt;=Deflactor!$BQ$306,AU228&lt;Deflactor!$BQ$307), Deflactor!$BP$306, Deflactor!$BP$307) ) ) ) ) ) ) ) ) )</f>
        <v>2</v>
      </c>
    </row>
    <row r="229" spans="1:48" x14ac:dyDescent="0.25">
      <c r="A229" s="3">
        <v>2011</v>
      </c>
      <c r="B229" s="3" t="s">
        <v>302</v>
      </c>
      <c r="C229" s="3" t="s">
        <v>7</v>
      </c>
      <c r="D229" s="3" t="s">
        <v>45</v>
      </c>
      <c r="E229" s="3" t="s">
        <v>184</v>
      </c>
      <c r="F229" s="3" t="s">
        <v>194</v>
      </c>
      <c r="G229" s="3"/>
      <c r="H229" s="12"/>
      <c r="I229" s="13"/>
      <c r="J229" s="10"/>
      <c r="K229" s="3"/>
      <c r="L229" s="3"/>
      <c r="M229" s="3"/>
      <c r="N229" s="3"/>
      <c r="O229" s="3"/>
      <c r="P229" s="3"/>
      <c r="Q229" s="3"/>
      <c r="R229" s="3"/>
      <c r="S229" s="3"/>
      <c r="T229" s="3"/>
      <c r="U229" s="3"/>
      <c r="V229" s="3"/>
      <c r="W229" s="10" t="str">
        <f>IF( J229="s.i", "s.i", IF(ISBLANK(J229),"Actualizando información",IFERROR(J229 / VLOOKUP(A229,Deflactor!$G$3:$H$64,2,0),"Revisar error" )))</f>
        <v>Actualizando información</v>
      </c>
      <c r="AR229" s="10">
        <f xml:space="preserve"> 3099000 * 1000</f>
        <v>3099000000</v>
      </c>
      <c r="AT229" s="46">
        <f t="shared" si="9"/>
        <v>3099000000</v>
      </c>
      <c r="AU229" s="54">
        <f xml:space="preserve"> IFERROR(ROUND(AT229 / VLOOKUP(A229,Tabla1[#All],2,0),0),"s.i")</f>
        <v>6411317</v>
      </c>
      <c r="AV229" s="33">
        <f xml:space="preserve"> IF(AU229="s.i", "s.i", IF(AND(AU229&gt;=Deflactor!$BQ$298,AU229&lt;Deflactor!$BQ$299), Deflactor!$BP$298, IF(AND(AU229&gt;=Deflactor!$BQ$299,AU229&lt;Deflactor!$BQ$300), Deflactor!$BP$299, IF(AND(AU229&gt;=Deflactor!$BQ$300,AU229&lt;Deflactor!$BQ$301), Deflactor!$BP$300, IF(AND(AU229&gt;=Deflactor!$BQ$301,AU229&lt;Deflactor!$BQ$302), Deflactor!$BP$301, IF(AND(AU229&gt;=Deflactor!$BQ$302,AU229&lt;Deflactor!$BQ$303), Deflactor!$BP$302, IF(AND(AU229&gt;=Deflactor!$BQ$303,AU229&lt;Deflactor!$BQ$304), Deflactor!$BP$303, IF(AND(AU229&gt;=Deflactor!$BQ$304,AU229&lt;Deflactor!$BQ$305), Deflactor!$BP$304, IF(AND(AU229&gt;=Deflactor!$BQ$305,AU229&lt;Deflactor!$BQ$306), Deflactor!$BP$305, IF(AND(AU229&gt;=Deflactor!$BQ$306,AU229&lt;Deflactor!$BQ$307), Deflactor!$BP$306, Deflactor!$BP$307) ) ) ) ) ) ) ) ) )</f>
        <v>3</v>
      </c>
    </row>
    <row r="230" spans="1:48" x14ac:dyDescent="0.25">
      <c r="A230" s="3">
        <v>2011</v>
      </c>
      <c r="B230" s="3" t="s">
        <v>303</v>
      </c>
      <c r="C230" s="3" t="s">
        <v>7</v>
      </c>
      <c r="D230" s="3" t="s">
        <v>36</v>
      </c>
      <c r="E230" s="3" t="s">
        <v>37</v>
      </c>
      <c r="F230" s="3" t="s">
        <v>89</v>
      </c>
      <c r="G230" s="3"/>
      <c r="H230" s="12"/>
      <c r="I230" s="13"/>
      <c r="J230" s="10"/>
      <c r="K230" s="3"/>
      <c r="L230" s="3"/>
      <c r="M230" s="3"/>
      <c r="N230" s="3"/>
      <c r="O230" s="3"/>
      <c r="P230" s="3"/>
      <c r="Q230" s="3"/>
      <c r="R230" s="3"/>
      <c r="S230" s="3"/>
      <c r="T230" s="3"/>
      <c r="U230" s="3"/>
      <c r="V230" s="3"/>
      <c r="W230" s="10" t="str">
        <f>IF( J230="s.i", "s.i", IF(ISBLANK(J230),"Actualizando información",IFERROR(J230 / VLOOKUP(A230,Deflactor!$G$3:$H$64,2,0),"Revisar error" )))</f>
        <v>Actualizando información</v>
      </c>
      <c r="AR230" s="10">
        <f xml:space="preserve"> 42787209 * 1000</f>
        <v>42787209000</v>
      </c>
      <c r="AT230" s="46">
        <f t="shared" si="9"/>
        <v>42787209000</v>
      </c>
      <c r="AU230" s="54">
        <f xml:space="preserve"> IFERROR(ROUND(AT230 / VLOOKUP(A230,Tabla1[#All],2,0),0),"s.i")</f>
        <v>88519635</v>
      </c>
      <c r="AV230" s="33">
        <f xml:space="preserve"> IF(AU230="s.i", "s.i", IF(AND(AU230&gt;=Deflactor!$BQ$298,AU230&lt;Deflactor!$BQ$299), Deflactor!$BP$298, IF(AND(AU230&gt;=Deflactor!$BQ$299,AU230&lt;Deflactor!$BQ$300), Deflactor!$BP$299, IF(AND(AU230&gt;=Deflactor!$BQ$300,AU230&lt;Deflactor!$BQ$301), Deflactor!$BP$300, IF(AND(AU230&gt;=Deflactor!$BQ$301,AU230&lt;Deflactor!$BQ$302), Deflactor!$BP$301, IF(AND(AU230&gt;=Deflactor!$BQ$302,AU230&lt;Deflactor!$BQ$303), Deflactor!$BP$302, IF(AND(AU230&gt;=Deflactor!$BQ$303,AU230&lt;Deflactor!$BQ$304), Deflactor!$BP$303, IF(AND(AU230&gt;=Deflactor!$BQ$304,AU230&lt;Deflactor!$BQ$305), Deflactor!$BP$304, IF(AND(AU230&gt;=Deflactor!$BQ$305,AU230&lt;Deflactor!$BQ$306), Deflactor!$BP$305, IF(AND(AU230&gt;=Deflactor!$BQ$306,AU230&lt;Deflactor!$BQ$307), Deflactor!$BP$306, Deflactor!$BP$307) ) ) ) ) ) ) ) ) )</f>
        <v>9</v>
      </c>
    </row>
    <row r="231" spans="1:48" x14ac:dyDescent="0.25">
      <c r="A231" s="3">
        <v>2011</v>
      </c>
      <c r="B231" s="3" t="s">
        <v>304</v>
      </c>
      <c r="C231" s="3" t="s">
        <v>7</v>
      </c>
      <c r="D231" s="3" t="s">
        <v>36</v>
      </c>
      <c r="E231" s="3" t="s">
        <v>37</v>
      </c>
      <c r="F231" s="3" t="s">
        <v>194</v>
      </c>
      <c r="G231" s="3"/>
      <c r="H231" s="12"/>
      <c r="I231" s="13"/>
      <c r="J231" s="10"/>
      <c r="K231" s="3"/>
      <c r="L231" s="3"/>
      <c r="M231" s="3"/>
      <c r="N231" s="3"/>
      <c r="O231" s="3"/>
      <c r="P231" s="3"/>
      <c r="Q231" s="3"/>
      <c r="R231" s="3"/>
      <c r="S231" s="3"/>
      <c r="T231" s="3"/>
      <c r="U231" s="3"/>
      <c r="V231" s="3"/>
      <c r="W231" s="10" t="str">
        <f>IF( J231="s.i", "s.i", IF(ISBLANK(J231),"Actualizando información",IFERROR(J231 / VLOOKUP(A231,Deflactor!$G$3:$H$64,2,0),"Revisar error" )))</f>
        <v>Actualizando información</v>
      </c>
      <c r="AR231" s="10">
        <f xml:space="preserve"> 6729995 * 1000</f>
        <v>6729995000</v>
      </c>
      <c r="AT231" s="46">
        <f t="shared" si="9"/>
        <v>6729995000</v>
      </c>
      <c r="AU231" s="54">
        <f xml:space="preserve"> IFERROR(ROUND(AT231 / VLOOKUP(A231,Tabla1[#All],2,0),0),"s.i")</f>
        <v>13923243</v>
      </c>
      <c r="AV231" s="33">
        <f xml:space="preserve"> IF(AU231="s.i", "s.i", IF(AND(AU231&gt;=Deflactor!$BQ$298,AU231&lt;Deflactor!$BQ$299), Deflactor!$BP$298, IF(AND(AU231&gt;=Deflactor!$BQ$299,AU231&lt;Deflactor!$BQ$300), Deflactor!$BP$299, IF(AND(AU231&gt;=Deflactor!$BQ$300,AU231&lt;Deflactor!$BQ$301), Deflactor!$BP$300, IF(AND(AU231&gt;=Deflactor!$BQ$301,AU231&lt;Deflactor!$BQ$302), Deflactor!$BP$301, IF(AND(AU231&gt;=Deflactor!$BQ$302,AU231&lt;Deflactor!$BQ$303), Deflactor!$BP$302, IF(AND(AU231&gt;=Deflactor!$BQ$303,AU231&lt;Deflactor!$BQ$304), Deflactor!$BP$303, IF(AND(AU231&gt;=Deflactor!$BQ$304,AU231&lt;Deflactor!$BQ$305), Deflactor!$BP$304, IF(AND(AU231&gt;=Deflactor!$BQ$305,AU231&lt;Deflactor!$BQ$306), Deflactor!$BP$305, IF(AND(AU231&gt;=Deflactor!$BQ$306,AU231&lt;Deflactor!$BQ$307), Deflactor!$BP$306, Deflactor!$BP$307) ) ) ) ) ) ) ) ) )</f>
        <v>5</v>
      </c>
    </row>
    <row r="232" spans="1:48" x14ac:dyDescent="0.25">
      <c r="A232" s="3">
        <v>2011</v>
      </c>
      <c r="B232" s="3" t="s">
        <v>305</v>
      </c>
      <c r="C232" s="3" t="s">
        <v>7</v>
      </c>
      <c r="D232" s="3" t="s">
        <v>36</v>
      </c>
      <c r="E232" s="3" t="s">
        <v>37</v>
      </c>
      <c r="F232" s="3" t="s">
        <v>89</v>
      </c>
      <c r="G232" s="3"/>
      <c r="H232" s="12"/>
      <c r="I232" s="13"/>
      <c r="J232" s="10"/>
      <c r="K232" s="3"/>
      <c r="L232" s="3"/>
      <c r="M232" s="3"/>
      <c r="N232" s="3"/>
      <c r="O232" s="3"/>
      <c r="P232" s="3"/>
      <c r="Q232" s="3"/>
      <c r="R232" s="3"/>
      <c r="S232" s="3"/>
      <c r="T232" s="3"/>
      <c r="U232" s="3"/>
      <c r="V232" s="3"/>
      <c r="W232" s="10" t="str">
        <f>IF( J232="s.i", "s.i", IF(ISBLANK(J232),"Actualizando información",IFERROR(J232 / VLOOKUP(A232,Deflactor!$G$3:$H$64,2,0),"Revisar error" )))</f>
        <v>Actualizando información</v>
      </c>
      <c r="AR232" s="10">
        <f xml:space="preserve"> 11426096 * 1000</f>
        <v>11426096000</v>
      </c>
      <c r="AT232" s="46">
        <f t="shared" si="9"/>
        <v>11426096000</v>
      </c>
      <c r="AU232" s="54">
        <f xml:space="preserve"> IFERROR(ROUND(AT232 / VLOOKUP(A232,Tabla1[#All],2,0),0),"s.i")</f>
        <v>23638696</v>
      </c>
      <c r="AV232" s="33">
        <f xml:space="preserve"> IF(AU232="s.i", "s.i", IF(AND(AU232&gt;=Deflactor!$BQ$298,AU232&lt;Deflactor!$BQ$299), Deflactor!$BP$298, IF(AND(AU232&gt;=Deflactor!$BQ$299,AU232&lt;Deflactor!$BQ$300), Deflactor!$BP$299, IF(AND(AU232&gt;=Deflactor!$BQ$300,AU232&lt;Deflactor!$BQ$301), Deflactor!$BP$300, IF(AND(AU232&gt;=Deflactor!$BQ$301,AU232&lt;Deflactor!$BQ$302), Deflactor!$BP$301, IF(AND(AU232&gt;=Deflactor!$BQ$302,AU232&lt;Deflactor!$BQ$303), Deflactor!$BP$302, IF(AND(AU232&gt;=Deflactor!$BQ$303,AU232&lt;Deflactor!$BQ$304), Deflactor!$BP$303, IF(AND(AU232&gt;=Deflactor!$BQ$304,AU232&lt;Deflactor!$BQ$305), Deflactor!$BP$304, IF(AND(AU232&gt;=Deflactor!$BQ$305,AU232&lt;Deflactor!$BQ$306), Deflactor!$BP$305, IF(AND(AU232&gt;=Deflactor!$BQ$306,AU232&lt;Deflactor!$BQ$307), Deflactor!$BP$306, Deflactor!$BP$307) ) ) ) ) ) ) ) ) )</f>
        <v>7</v>
      </c>
    </row>
    <row r="233" spans="1:48" x14ac:dyDescent="0.25">
      <c r="A233" s="3">
        <v>2010</v>
      </c>
      <c r="B233" s="3" t="s">
        <v>306</v>
      </c>
      <c r="C233" s="3" t="s">
        <v>283</v>
      </c>
      <c r="D233" s="3" t="s">
        <v>8</v>
      </c>
      <c r="E233" s="3" t="s">
        <v>51</v>
      </c>
      <c r="F233" s="3" t="s">
        <v>157</v>
      </c>
      <c r="G233" s="3" t="s">
        <v>723</v>
      </c>
      <c r="H233" s="12">
        <v>2010</v>
      </c>
      <c r="I233" s="13" t="s">
        <v>623</v>
      </c>
      <c r="J233" s="10" t="s">
        <v>623</v>
      </c>
      <c r="K233" s="3"/>
      <c r="L233" s="3" t="s">
        <v>1576</v>
      </c>
      <c r="M233" s="3" t="s">
        <v>1577</v>
      </c>
      <c r="N233" s="3" t="s">
        <v>1578</v>
      </c>
      <c r="O233" s="3" t="s">
        <v>1579</v>
      </c>
      <c r="P233" s="3"/>
      <c r="Q233" s="3"/>
      <c r="R233" s="3" t="s">
        <v>1580</v>
      </c>
      <c r="S233" s="3"/>
      <c r="T233" s="3"/>
      <c r="U233" s="3"/>
      <c r="V233" s="3"/>
      <c r="W233" s="10" t="str">
        <f>IF( J233="s.i", "s.i", IF(ISBLANK(J233),"Actualizando información",IFERROR(J233 / VLOOKUP(A233,Deflactor!$G$3:$H$64,2,0),"Revisar error" )))</f>
        <v>s.i</v>
      </c>
      <c r="AR233" s="34">
        <f xml:space="preserve"> 19410354 * 1000</f>
        <v>19410354000</v>
      </c>
      <c r="AT233" s="46">
        <f t="shared" si="9"/>
        <v>19410354000</v>
      </c>
      <c r="AU233" s="54">
        <f xml:space="preserve"> IFERROR(ROUND(AT233 / VLOOKUP(A233,Tabla1[#All],2,0),0),"s.i")</f>
        <v>38031431</v>
      </c>
      <c r="AV233" s="33">
        <f xml:space="preserve"> IF(AU233="s.i", "s.i", IF(AND(AU233&gt;=Deflactor!$BQ$298,AU233&lt;Deflactor!$BQ$299), Deflactor!$BP$298, IF(AND(AU233&gt;=Deflactor!$BQ$299,AU233&lt;Deflactor!$BQ$300), Deflactor!$BP$299, IF(AND(AU233&gt;=Deflactor!$BQ$300,AU233&lt;Deflactor!$BQ$301), Deflactor!$BP$300, IF(AND(AU233&gt;=Deflactor!$BQ$301,AU233&lt;Deflactor!$BQ$302), Deflactor!$BP$301, IF(AND(AU233&gt;=Deflactor!$BQ$302,AU233&lt;Deflactor!$BQ$303), Deflactor!$BP$302, IF(AND(AU233&gt;=Deflactor!$BQ$303,AU233&lt;Deflactor!$BQ$304), Deflactor!$BP$303, IF(AND(AU233&gt;=Deflactor!$BQ$304,AU233&lt;Deflactor!$BQ$305), Deflactor!$BP$304, IF(AND(AU233&gt;=Deflactor!$BQ$305,AU233&lt;Deflactor!$BQ$306), Deflactor!$BP$305, IF(AND(AU233&gt;=Deflactor!$BQ$306,AU233&lt;Deflactor!$BQ$307), Deflactor!$BP$306, Deflactor!$BP$307) ) ) ) ) ) ) ) ) )</f>
        <v>8</v>
      </c>
    </row>
    <row r="234" spans="1:48" x14ac:dyDescent="0.25">
      <c r="A234" s="3">
        <v>2010</v>
      </c>
      <c r="B234" s="3" t="s">
        <v>247</v>
      </c>
      <c r="C234" s="3" t="s">
        <v>283</v>
      </c>
      <c r="D234" s="3" t="s">
        <v>40</v>
      </c>
      <c r="E234" s="3" t="s">
        <v>43</v>
      </c>
      <c r="F234" s="3" t="s">
        <v>157</v>
      </c>
      <c r="G234" s="3" t="s">
        <v>623</v>
      </c>
      <c r="H234" s="12">
        <v>2009</v>
      </c>
      <c r="I234" s="13" t="s">
        <v>623</v>
      </c>
      <c r="J234" s="10" t="s">
        <v>623</v>
      </c>
      <c r="K234" s="3"/>
      <c r="L234" s="3" t="s">
        <v>1581</v>
      </c>
      <c r="M234" s="3" t="s">
        <v>1582</v>
      </c>
      <c r="N234" s="3" t="s">
        <v>1583</v>
      </c>
      <c r="O234" s="3" t="s">
        <v>1584</v>
      </c>
      <c r="P234" s="3"/>
      <c r="Q234" s="3"/>
      <c r="R234" s="3" t="s">
        <v>1585</v>
      </c>
      <c r="S234" s="3"/>
      <c r="T234" s="3"/>
      <c r="U234" s="3" t="s">
        <v>247</v>
      </c>
      <c r="V234" s="3" t="s">
        <v>1586</v>
      </c>
      <c r="W234" s="10" t="str">
        <f>IF( J234="s.i", "s.i", IF(ISBLANK(J234),"Actualizando información",IFERROR(J234 / VLOOKUP(A234,Deflactor!$G$3:$H$64,2,0),"Revisar error" )))</f>
        <v>s.i</v>
      </c>
      <c r="AR234" s="34" t="s">
        <v>2357</v>
      </c>
      <c r="AT234" s="46">
        <f>'Notas reunion'!T57</f>
        <v>1443171000</v>
      </c>
      <c r="AU234" s="54">
        <f xml:space="preserve"> IFERROR(ROUND(AT234 / VLOOKUP(A234,Tabla1[#All],2,0),0),"s.i")</f>
        <v>2827659</v>
      </c>
      <c r="AV234" s="33">
        <f xml:space="preserve"> IF(AU234="s.i", "s.i", IF(AND(AU234&gt;=Deflactor!$BQ$298,AU234&lt;Deflactor!$BQ$299), Deflactor!$BP$298, IF(AND(AU234&gt;=Deflactor!$BQ$299,AU234&lt;Deflactor!$BQ$300), Deflactor!$BP$299, IF(AND(AU234&gt;=Deflactor!$BQ$300,AU234&lt;Deflactor!$BQ$301), Deflactor!$BP$300, IF(AND(AU234&gt;=Deflactor!$BQ$301,AU234&lt;Deflactor!$BQ$302), Deflactor!$BP$301, IF(AND(AU234&gt;=Deflactor!$BQ$302,AU234&lt;Deflactor!$BQ$303), Deflactor!$BP$302, IF(AND(AU234&gt;=Deflactor!$BQ$303,AU234&lt;Deflactor!$BQ$304), Deflactor!$BP$303, IF(AND(AU234&gt;=Deflactor!$BQ$304,AU234&lt;Deflactor!$BQ$305), Deflactor!$BP$304, IF(AND(AU234&gt;=Deflactor!$BQ$305,AU234&lt;Deflactor!$BQ$306), Deflactor!$BP$305, IF(AND(AU234&gt;=Deflactor!$BQ$306,AU234&lt;Deflactor!$BQ$307), Deflactor!$BP$306, Deflactor!$BP$307) ) ) ) ) ) ) ) ) )</f>
        <v>2</v>
      </c>
    </row>
    <row r="235" spans="1:48" x14ac:dyDescent="0.25">
      <c r="A235" s="3">
        <v>2010</v>
      </c>
      <c r="B235" s="3" t="s">
        <v>307</v>
      </c>
      <c r="C235" s="3" t="s">
        <v>7</v>
      </c>
      <c r="D235" s="3" t="s">
        <v>36</v>
      </c>
      <c r="E235" s="3" t="s">
        <v>37</v>
      </c>
      <c r="F235" s="3" t="s">
        <v>308</v>
      </c>
      <c r="G235" s="3"/>
      <c r="H235" s="12"/>
      <c r="I235" s="13"/>
      <c r="J235" s="10"/>
      <c r="K235" s="3"/>
      <c r="L235" s="3"/>
      <c r="M235" s="3"/>
      <c r="N235" s="3"/>
      <c r="O235" s="3"/>
      <c r="P235" s="3"/>
      <c r="Q235" s="3"/>
      <c r="R235" s="3"/>
      <c r="S235" s="3"/>
      <c r="T235" s="3"/>
      <c r="U235" s="3"/>
      <c r="V235" s="3"/>
      <c r="W235" s="10" t="str">
        <f>IF( J235="s.i", "s.i", IF(ISBLANK(J235),"Actualizando información",IFERROR(J235 / VLOOKUP(A235,Deflactor!$G$3:$H$64,2,0),"Revisar error" )))</f>
        <v>Actualizando información</v>
      </c>
      <c r="AR235" s="10">
        <f xml:space="preserve"> 1000000 * 1000</f>
        <v>1000000000</v>
      </c>
      <c r="AT235" s="46">
        <f t="shared" si="9"/>
        <v>1000000000</v>
      </c>
      <c r="AU235" s="54">
        <f xml:space="preserve"> IFERROR(ROUND(AT235 / VLOOKUP(A235,Tabla1[#All],2,0),0),"s.i")</f>
        <v>1959337</v>
      </c>
      <c r="AV235" s="33">
        <f xml:space="preserve"> IF(AU235="s.i", "s.i", IF(AND(AU235&gt;=Deflactor!$BQ$298,AU235&lt;Deflactor!$BQ$299), Deflactor!$BP$298, IF(AND(AU235&gt;=Deflactor!$BQ$299,AU235&lt;Deflactor!$BQ$300), Deflactor!$BP$299, IF(AND(AU235&gt;=Deflactor!$BQ$300,AU235&lt;Deflactor!$BQ$301), Deflactor!$BP$300, IF(AND(AU235&gt;=Deflactor!$BQ$301,AU235&lt;Deflactor!$BQ$302), Deflactor!$BP$301, IF(AND(AU235&gt;=Deflactor!$BQ$302,AU235&lt;Deflactor!$BQ$303), Deflactor!$BP$302, IF(AND(AU235&gt;=Deflactor!$BQ$303,AU235&lt;Deflactor!$BQ$304), Deflactor!$BP$303, IF(AND(AU235&gt;=Deflactor!$BQ$304,AU235&lt;Deflactor!$BQ$305), Deflactor!$BP$304, IF(AND(AU235&gt;=Deflactor!$BQ$305,AU235&lt;Deflactor!$BQ$306), Deflactor!$BP$305, IF(AND(AU235&gt;=Deflactor!$BQ$306,AU235&lt;Deflactor!$BQ$307), Deflactor!$BP$306, Deflactor!$BP$307) ) ) ) ) ) ) ) ) )</f>
        <v>1</v>
      </c>
    </row>
    <row r="236" spans="1:48" x14ac:dyDescent="0.25">
      <c r="A236" s="3">
        <v>2010</v>
      </c>
      <c r="B236" s="3" t="s">
        <v>309</v>
      </c>
      <c r="C236" s="3" t="s">
        <v>7</v>
      </c>
      <c r="D236" s="3" t="s">
        <v>36</v>
      </c>
      <c r="E236" s="3" t="s">
        <v>37</v>
      </c>
      <c r="F236" s="3" t="s">
        <v>310</v>
      </c>
      <c r="G236" s="3"/>
      <c r="H236" s="12"/>
      <c r="I236" s="13"/>
      <c r="J236" s="10"/>
      <c r="K236" s="3"/>
      <c r="L236" s="3"/>
      <c r="M236" s="3"/>
      <c r="N236" s="3"/>
      <c r="O236" s="3"/>
      <c r="P236" s="3"/>
      <c r="Q236" s="3"/>
      <c r="R236" s="3"/>
      <c r="S236" s="3"/>
      <c r="T236" s="3"/>
      <c r="U236" s="3"/>
      <c r="V236" s="3"/>
      <c r="W236" s="10" t="str">
        <f>IF( J236="s.i", "s.i", IF(ISBLANK(J236),"Actualizando información",IFERROR(J236 / VLOOKUP(A236,Deflactor!$G$3:$H$64,2,0),"Revisar error" )))</f>
        <v>Actualizando información</v>
      </c>
      <c r="AR236" s="10">
        <f xml:space="preserve"> 999572 * 1000</f>
        <v>999572000</v>
      </c>
      <c r="AT236" s="46">
        <f t="shared" si="9"/>
        <v>999572000</v>
      </c>
      <c r="AU236" s="54">
        <f xml:space="preserve"> IFERROR(ROUND(AT236 / VLOOKUP(A236,Tabla1[#All],2,0),0),"s.i")</f>
        <v>1958499</v>
      </c>
      <c r="AV236" s="33">
        <f xml:space="preserve"> IF(AU236="s.i", "s.i", IF(AND(AU236&gt;=Deflactor!$BQ$298,AU236&lt;Deflactor!$BQ$299), Deflactor!$BP$298, IF(AND(AU236&gt;=Deflactor!$BQ$299,AU236&lt;Deflactor!$BQ$300), Deflactor!$BP$299, IF(AND(AU236&gt;=Deflactor!$BQ$300,AU236&lt;Deflactor!$BQ$301), Deflactor!$BP$300, IF(AND(AU236&gt;=Deflactor!$BQ$301,AU236&lt;Deflactor!$BQ$302), Deflactor!$BP$301, IF(AND(AU236&gt;=Deflactor!$BQ$302,AU236&lt;Deflactor!$BQ$303), Deflactor!$BP$302, IF(AND(AU236&gt;=Deflactor!$BQ$303,AU236&lt;Deflactor!$BQ$304), Deflactor!$BP$303, IF(AND(AU236&gt;=Deflactor!$BQ$304,AU236&lt;Deflactor!$BQ$305), Deflactor!$BP$304, IF(AND(AU236&gt;=Deflactor!$BQ$305,AU236&lt;Deflactor!$BQ$306), Deflactor!$BP$305, IF(AND(AU236&gt;=Deflactor!$BQ$306,AU236&lt;Deflactor!$BQ$307), Deflactor!$BP$306, Deflactor!$BP$307) ) ) ) ) ) ) ) ) )</f>
        <v>1</v>
      </c>
    </row>
    <row r="237" spans="1:48" x14ac:dyDescent="0.25">
      <c r="A237" s="3">
        <v>2010</v>
      </c>
      <c r="B237" s="3" t="s">
        <v>311</v>
      </c>
      <c r="C237" s="3" t="s">
        <v>92</v>
      </c>
      <c r="D237" s="3" t="s">
        <v>36</v>
      </c>
      <c r="E237" s="3" t="s">
        <v>37</v>
      </c>
      <c r="F237" s="3" t="s">
        <v>89</v>
      </c>
      <c r="G237" s="3" t="s">
        <v>723</v>
      </c>
      <c r="H237" s="12">
        <v>2005</v>
      </c>
      <c r="I237" s="13" t="s">
        <v>623</v>
      </c>
      <c r="J237" s="10">
        <f xml:space="preserve"> 141370509 * 1000</f>
        <v>141370509000</v>
      </c>
      <c r="K237" s="3" t="s">
        <v>1666</v>
      </c>
      <c r="L237" s="3" t="s">
        <v>1587</v>
      </c>
      <c r="M237" s="3" t="s">
        <v>1588</v>
      </c>
      <c r="N237" s="3" t="s">
        <v>1589</v>
      </c>
      <c r="O237" s="3"/>
      <c r="P237" s="3"/>
      <c r="Q237" s="3"/>
      <c r="R237" s="3" t="s">
        <v>1590</v>
      </c>
      <c r="S237" s="3" t="s">
        <v>1590</v>
      </c>
      <c r="T237" s="3" t="s">
        <v>1591</v>
      </c>
      <c r="U237" s="3" t="s">
        <v>1592</v>
      </c>
      <c r="V237" s="3"/>
      <c r="W237" s="10">
        <f>IF( J237="s.i", "s.i", IF(ISBLANK(J237),"Actualizando información",IFERROR(J237 / VLOOKUP(A237,Deflactor!$G$3:$H$64,2,0),"Revisar error" )))</f>
        <v>150332635540.5304</v>
      </c>
      <c r="AR237" s="34">
        <f t="shared" ref="AR237:AR241" si="10" xml:space="preserve"> 132129142 * 1000</f>
        <v>132129142000</v>
      </c>
      <c r="AT237" s="46">
        <f t="shared" si="9"/>
        <v>132129142000</v>
      </c>
      <c r="AU237" s="54">
        <f xml:space="preserve"> IFERROR(ROUND(AT237 / VLOOKUP(A237,Tabla1[#All],2,0),0),"s.i")</f>
        <v>258885559</v>
      </c>
      <c r="AV237" s="33">
        <f xml:space="preserve"> IF(AU237="s.i", "s.i", IF(AND(AU237&gt;=Deflactor!$BQ$298,AU237&lt;Deflactor!$BQ$299), Deflactor!$BP$298, IF(AND(AU237&gt;=Deflactor!$BQ$299,AU237&lt;Deflactor!$BQ$300), Deflactor!$BP$299, IF(AND(AU237&gt;=Deflactor!$BQ$300,AU237&lt;Deflactor!$BQ$301), Deflactor!$BP$300, IF(AND(AU237&gt;=Deflactor!$BQ$301,AU237&lt;Deflactor!$BQ$302), Deflactor!$BP$301, IF(AND(AU237&gt;=Deflactor!$BQ$302,AU237&lt;Deflactor!$BQ$303), Deflactor!$BP$302, IF(AND(AU237&gt;=Deflactor!$BQ$303,AU237&lt;Deflactor!$BQ$304), Deflactor!$BP$303, IF(AND(AU237&gt;=Deflactor!$BQ$304,AU237&lt;Deflactor!$BQ$305), Deflactor!$BP$304, IF(AND(AU237&gt;=Deflactor!$BQ$305,AU237&lt;Deflactor!$BQ$306), Deflactor!$BP$305, IF(AND(AU237&gt;=Deflactor!$BQ$306,AU237&lt;Deflactor!$BQ$307), Deflactor!$BP$306, Deflactor!$BP$307) ) ) ) ) ) ) ) ) )</f>
        <v>10</v>
      </c>
    </row>
    <row r="238" spans="1:48" x14ac:dyDescent="0.25">
      <c r="A238" s="3">
        <v>2010</v>
      </c>
      <c r="B238" s="3" t="s">
        <v>312</v>
      </c>
      <c r="C238" s="3" t="s">
        <v>92</v>
      </c>
      <c r="D238" s="3" t="s">
        <v>36</v>
      </c>
      <c r="E238" s="3" t="s">
        <v>37</v>
      </c>
      <c r="F238" s="3" t="s">
        <v>89</v>
      </c>
      <c r="G238" s="3" t="s">
        <v>723</v>
      </c>
      <c r="H238" s="12">
        <v>2007</v>
      </c>
      <c r="I238" s="13" t="s">
        <v>623</v>
      </c>
      <c r="J238" s="10">
        <f t="shared" ref="J238:J241" si="11" xml:space="preserve"> 141370509 * 1000</f>
        <v>141370509000</v>
      </c>
      <c r="K238" s="3" t="s">
        <v>1666</v>
      </c>
      <c r="L238" s="3" t="s">
        <v>1587</v>
      </c>
      <c r="M238" s="3" t="s">
        <v>1588</v>
      </c>
      <c r="N238" s="3" t="s">
        <v>1593</v>
      </c>
      <c r="O238" s="3"/>
      <c r="P238" s="3"/>
      <c r="Q238" s="3"/>
      <c r="R238" s="3" t="s">
        <v>1590</v>
      </c>
      <c r="S238" s="3" t="s">
        <v>1590</v>
      </c>
      <c r="T238" s="3" t="s">
        <v>1591</v>
      </c>
      <c r="U238" s="3" t="s">
        <v>1592</v>
      </c>
      <c r="V238" s="3"/>
      <c r="W238" s="10">
        <f>IF( J238="s.i", "s.i", IF(ISBLANK(J238),"Actualizando información",IFERROR(J238 / VLOOKUP(A238,Deflactor!$G$3:$H$64,2,0),"Revisar error" )))</f>
        <v>150332635540.5304</v>
      </c>
      <c r="AR238" s="34">
        <f t="shared" si="10"/>
        <v>132129142000</v>
      </c>
      <c r="AT238" s="46">
        <f t="shared" si="9"/>
        <v>132129142000</v>
      </c>
      <c r="AU238" s="54">
        <f xml:space="preserve"> IFERROR(ROUND(AT238 / VLOOKUP(A238,Tabla1[#All],2,0),0),"s.i")</f>
        <v>258885559</v>
      </c>
      <c r="AV238" s="33">
        <f xml:space="preserve"> IF(AU238="s.i", "s.i", IF(AND(AU238&gt;=Deflactor!$BQ$298,AU238&lt;Deflactor!$BQ$299), Deflactor!$BP$298, IF(AND(AU238&gt;=Deflactor!$BQ$299,AU238&lt;Deflactor!$BQ$300), Deflactor!$BP$299, IF(AND(AU238&gt;=Deflactor!$BQ$300,AU238&lt;Deflactor!$BQ$301), Deflactor!$BP$300, IF(AND(AU238&gt;=Deflactor!$BQ$301,AU238&lt;Deflactor!$BQ$302), Deflactor!$BP$301, IF(AND(AU238&gt;=Deflactor!$BQ$302,AU238&lt;Deflactor!$BQ$303), Deflactor!$BP$302, IF(AND(AU238&gt;=Deflactor!$BQ$303,AU238&lt;Deflactor!$BQ$304), Deflactor!$BP$303, IF(AND(AU238&gt;=Deflactor!$BQ$304,AU238&lt;Deflactor!$BQ$305), Deflactor!$BP$304, IF(AND(AU238&gt;=Deflactor!$BQ$305,AU238&lt;Deflactor!$BQ$306), Deflactor!$BP$305, IF(AND(AU238&gt;=Deflactor!$BQ$306,AU238&lt;Deflactor!$BQ$307), Deflactor!$BP$306, Deflactor!$BP$307) ) ) ) ) ) ) ) ) )</f>
        <v>10</v>
      </c>
    </row>
    <row r="239" spans="1:48" x14ac:dyDescent="0.25">
      <c r="A239" s="3">
        <v>2010</v>
      </c>
      <c r="B239" s="3" t="s">
        <v>313</v>
      </c>
      <c r="C239" s="3" t="s">
        <v>92</v>
      </c>
      <c r="D239" s="3" t="s">
        <v>36</v>
      </c>
      <c r="E239" s="3" t="s">
        <v>37</v>
      </c>
      <c r="F239" s="3" t="s">
        <v>89</v>
      </c>
      <c r="G239" s="3" t="s">
        <v>723</v>
      </c>
      <c r="H239" s="12">
        <v>2001</v>
      </c>
      <c r="I239" s="13" t="s">
        <v>623</v>
      </c>
      <c r="J239" s="10">
        <f t="shared" si="11"/>
        <v>141370509000</v>
      </c>
      <c r="K239" s="3" t="s">
        <v>1666</v>
      </c>
      <c r="L239" s="3" t="s">
        <v>1587</v>
      </c>
      <c r="M239" s="3" t="s">
        <v>1588</v>
      </c>
      <c r="N239" s="3" t="s">
        <v>1594</v>
      </c>
      <c r="O239" s="3"/>
      <c r="P239" s="3"/>
      <c r="Q239" s="3"/>
      <c r="R239" s="3" t="s">
        <v>1590</v>
      </c>
      <c r="S239" s="3" t="s">
        <v>1590</v>
      </c>
      <c r="T239" s="3" t="s">
        <v>1591</v>
      </c>
      <c r="U239" s="3" t="s">
        <v>1592</v>
      </c>
      <c r="V239" s="3"/>
      <c r="W239" s="10">
        <f>IF( J239="s.i", "s.i", IF(ISBLANK(J239),"Actualizando información",IFERROR(J239 / VLOOKUP(A239,Deflactor!$G$3:$H$64,2,0),"Revisar error" )))</f>
        <v>150332635540.5304</v>
      </c>
      <c r="AR239" s="34">
        <f t="shared" si="10"/>
        <v>132129142000</v>
      </c>
      <c r="AT239" s="46">
        <f t="shared" si="9"/>
        <v>132129142000</v>
      </c>
      <c r="AU239" s="54">
        <f xml:space="preserve"> IFERROR(ROUND(AT239 / VLOOKUP(A239,Tabla1[#All],2,0),0),"s.i")</f>
        <v>258885559</v>
      </c>
      <c r="AV239" s="33">
        <f xml:space="preserve"> IF(AU239="s.i", "s.i", IF(AND(AU239&gt;=Deflactor!$BQ$298,AU239&lt;Deflactor!$BQ$299), Deflactor!$BP$298, IF(AND(AU239&gt;=Deflactor!$BQ$299,AU239&lt;Deflactor!$BQ$300), Deflactor!$BP$299, IF(AND(AU239&gt;=Deflactor!$BQ$300,AU239&lt;Deflactor!$BQ$301), Deflactor!$BP$300, IF(AND(AU239&gt;=Deflactor!$BQ$301,AU239&lt;Deflactor!$BQ$302), Deflactor!$BP$301, IF(AND(AU239&gt;=Deflactor!$BQ$302,AU239&lt;Deflactor!$BQ$303), Deflactor!$BP$302, IF(AND(AU239&gt;=Deflactor!$BQ$303,AU239&lt;Deflactor!$BQ$304), Deflactor!$BP$303, IF(AND(AU239&gt;=Deflactor!$BQ$304,AU239&lt;Deflactor!$BQ$305), Deflactor!$BP$304, IF(AND(AU239&gt;=Deflactor!$BQ$305,AU239&lt;Deflactor!$BQ$306), Deflactor!$BP$305, IF(AND(AU239&gt;=Deflactor!$BQ$306,AU239&lt;Deflactor!$BQ$307), Deflactor!$BP$306, Deflactor!$BP$307) ) ) ) ) ) ) ) ) )</f>
        <v>10</v>
      </c>
    </row>
    <row r="240" spans="1:48" x14ac:dyDescent="0.25">
      <c r="A240" s="3">
        <v>2010</v>
      </c>
      <c r="B240" s="3" t="s">
        <v>314</v>
      </c>
      <c r="C240" s="3" t="s">
        <v>92</v>
      </c>
      <c r="D240" s="3" t="s">
        <v>36</v>
      </c>
      <c r="E240" s="3" t="s">
        <v>37</v>
      </c>
      <c r="F240" s="3" t="s">
        <v>89</v>
      </c>
      <c r="G240" s="3" t="s">
        <v>723</v>
      </c>
      <c r="H240" s="12">
        <v>1998</v>
      </c>
      <c r="I240" s="13" t="s">
        <v>623</v>
      </c>
      <c r="J240" s="10">
        <f t="shared" si="11"/>
        <v>141370509000</v>
      </c>
      <c r="K240" s="3" t="s">
        <v>1666</v>
      </c>
      <c r="L240" s="3" t="s">
        <v>1587</v>
      </c>
      <c r="M240" s="3" t="s">
        <v>1588</v>
      </c>
      <c r="N240" s="3" t="s">
        <v>1595</v>
      </c>
      <c r="O240" s="3"/>
      <c r="P240" s="3"/>
      <c r="Q240" s="3"/>
      <c r="R240" s="3" t="s">
        <v>1590</v>
      </c>
      <c r="S240" s="3" t="s">
        <v>1590</v>
      </c>
      <c r="T240" s="3" t="s">
        <v>1591</v>
      </c>
      <c r="U240" s="3" t="s">
        <v>1592</v>
      </c>
      <c r="V240" s="3"/>
      <c r="W240" s="10">
        <f>IF( J240="s.i", "s.i", IF(ISBLANK(J240),"Actualizando información",IFERROR(J240 / VLOOKUP(A240,Deflactor!$G$3:$H$64,2,0),"Revisar error" )))</f>
        <v>150332635540.5304</v>
      </c>
      <c r="AR240" s="34">
        <f t="shared" si="10"/>
        <v>132129142000</v>
      </c>
      <c r="AT240" s="46">
        <f t="shared" si="9"/>
        <v>132129142000</v>
      </c>
      <c r="AU240" s="54">
        <f xml:space="preserve"> IFERROR(ROUND(AT240 / VLOOKUP(A240,Tabla1[#All],2,0),0),"s.i")</f>
        <v>258885559</v>
      </c>
      <c r="AV240" s="33">
        <f xml:space="preserve"> IF(AU240="s.i", "s.i", IF(AND(AU240&gt;=Deflactor!$BQ$298,AU240&lt;Deflactor!$BQ$299), Deflactor!$BP$298, IF(AND(AU240&gt;=Deflactor!$BQ$299,AU240&lt;Deflactor!$BQ$300), Deflactor!$BP$299, IF(AND(AU240&gt;=Deflactor!$BQ$300,AU240&lt;Deflactor!$BQ$301), Deflactor!$BP$300, IF(AND(AU240&gt;=Deflactor!$BQ$301,AU240&lt;Deflactor!$BQ$302), Deflactor!$BP$301, IF(AND(AU240&gt;=Deflactor!$BQ$302,AU240&lt;Deflactor!$BQ$303), Deflactor!$BP$302, IF(AND(AU240&gt;=Deflactor!$BQ$303,AU240&lt;Deflactor!$BQ$304), Deflactor!$BP$303, IF(AND(AU240&gt;=Deflactor!$BQ$304,AU240&lt;Deflactor!$BQ$305), Deflactor!$BP$304, IF(AND(AU240&gt;=Deflactor!$BQ$305,AU240&lt;Deflactor!$BQ$306), Deflactor!$BP$305, IF(AND(AU240&gt;=Deflactor!$BQ$306,AU240&lt;Deflactor!$BQ$307), Deflactor!$BP$306, Deflactor!$BP$307) ) ) ) ) ) ) ) ) )</f>
        <v>10</v>
      </c>
    </row>
    <row r="241" spans="1:48" x14ac:dyDescent="0.25">
      <c r="A241" s="3">
        <v>2010</v>
      </c>
      <c r="B241" s="3" t="s">
        <v>315</v>
      </c>
      <c r="C241" s="3" t="s">
        <v>92</v>
      </c>
      <c r="D241" s="3" t="s">
        <v>36</v>
      </c>
      <c r="E241" s="3" t="s">
        <v>37</v>
      </c>
      <c r="F241" s="3" t="s">
        <v>89</v>
      </c>
      <c r="G241" s="3" t="s">
        <v>723</v>
      </c>
      <c r="H241" s="12">
        <v>1991</v>
      </c>
      <c r="I241" s="13" t="s">
        <v>623</v>
      </c>
      <c r="J241" s="10">
        <f t="shared" si="11"/>
        <v>141370509000</v>
      </c>
      <c r="K241" s="3" t="s">
        <v>1666</v>
      </c>
      <c r="L241" s="3" t="s">
        <v>1587</v>
      </c>
      <c r="M241" s="3" t="s">
        <v>1588</v>
      </c>
      <c r="N241" s="3" t="s">
        <v>1596</v>
      </c>
      <c r="O241" s="3"/>
      <c r="P241" s="3"/>
      <c r="Q241" s="3"/>
      <c r="R241" s="3" t="s">
        <v>1590</v>
      </c>
      <c r="S241" s="3" t="s">
        <v>1590</v>
      </c>
      <c r="T241" s="3" t="s">
        <v>1591</v>
      </c>
      <c r="U241" s="3" t="s">
        <v>1592</v>
      </c>
      <c r="V241" s="3"/>
      <c r="W241" s="10">
        <f>IF( J241="s.i", "s.i", IF(ISBLANK(J241),"Actualizando información",IFERROR(J241 / VLOOKUP(A241,Deflactor!$G$3:$H$64,2,0),"Revisar error" )))</f>
        <v>150332635540.5304</v>
      </c>
      <c r="AR241" s="34">
        <f t="shared" si="10"/>
        <v>132129142000</v>
      </c>
      <c r="AT241" s="46">
        <f t="shared" si="9"/>
        <v>132129142000</v>
      </c>
      <c r="AU241" s="54">
        <f xml:space="preserve"> IFERROR(ROUND(AT241 / VLOOKUP(A241,Tabla1[#All],2,0),0),"s.i")</f>
        <v>258885559</v>
      </c>
      <c r="AV241" s="33">
        <f xml:space="preserve"> IF(AU241="s.i", "s.i", IF(AND(AU241&gt;=Deflactor!$BQ$298,AU241&lt;Deflactor!$BQ$299), Deflactor!$BP$298, IF(AND(AU241&gt;=Deflactor!$BQ$299,AU241&lt;Deflactor!$BQ$300), Deflactor!$BP$299, IF(AND(AU241&gt;=Deflactor!$BQ$300,AU241&lt;Deflactor!$BQ$301), Deflactor!$BP$300, IF(AND(AU241&gt;=Deflactor!$BQ$301,AU241&lt;Deflactor!$BQ$302), Deflactor!$BP$301, IF(AND(AU241&gt;=Deflactor!$BQ$302,AU241&lt;Deflactor!$BQ$303), Deflactor!$BP$302, IF(AND(AU241&gt;=Deflactor!$BQ$303,AU241&lt;Deflactor!$BQ$304), Deflactor!$BP$303, IF(AND(AU241&gt;=Deflactor!$BQ$304,AU241&lt;Deflactor!$BQ$305), Deflactor!$BP$304, IF(AND(AU241&gt;=Deflactor!$BQ$305,AU241&lt;Deflactor!$BQ$306), Deflactor!$BP$305, IF(AND(AU241&gt;=Deflactor!$BQ$306,AU241&lt;Deflactor!$BQ$307), Deflactor!$BP$306, Deflactor!$BP$307) ) ) ) ) ) ) ) ) )</f>
        <v>10</v>
      </c>
    </row>
    <row r="242" spans="1:48" x14ac:dyDescent="0.25">
      <c r="A242" s="3">
        <v>2010</v>
      </c>
      <c r="B242" s="3" t="s">
        <v>316</v>
      </c>
      <c r="C242" s="3" t="s">
        <v>155</v>
      </c>
      <c r="D242" s="3" t="s">
        <v>216</v>
      </c>
      <c r="E242" s="3" t="s">
        <v>316</v>
      </c>
      <c r="F242" s="3" t="s">
        <v>157</v>
      </c>
      <c r="G242" s="3"/>
      <c r="H242" s="12"/>
      <c r="I242" s="13"/>
      <c r="J242" s="10"/>
      <c r="K242" s="3"/>
      <c r="L242" s="3"/>
      <c r="M242" s="3"/>
      <c r="N242" s="3"/>
      <c r="O242" s="3"/>
      <c r="P242" s="3"/>
      <c r="Q242" s="3"/>
      <c r="R242" s="3"/>
      <c r="S242" s="3"/>
      <c r="T242" s="3"/>
      <c r="U242" s="3"/>
      <c r="V242" s="3"/>
      <c r="W242" s="10" t="str">
        <f>IF( J242="s.i", "s.i", IF(ISBLANK(J242),"Actualizando información",IFERROR(J242 / VLOOKUP(A242,Deflactor!$G$3:$H$64,2,0),"Revisar error" )))</f>
        <v>Actualizando información</v>
      </c>
      <c r="AR242" s="10">
        <f xml:space="preserve"> 4948354 * 1000</f>
        <v>4948354000</v>
      </c>
      <c r="AT242" s="46">
        <f t="shared" si="9"/>
        <v>4948354000</v>
      </c>
      <c r="AU242" s="54">
        <f xml:space="preserve"> IFERROR(ROUND(AT242 / VLOOKUP(A242,Tabla1[#All],2,0),0),"s.i")</f>
        <v>9695495</v>
      </c>
      <c r="AV242" s="33">
        <f xml:space="preserve"> IF(AU242="s.i", "s.i", IF(AND(AU242&gt;=Deflactor!$BQ$298,AU242&lt;Deflactor!$BQ$299), Deflactor!$BP$298, IF(AND(AU242&gt;=Deflactor!$BQ$299,AU242&lt;Deflactor!$BQ$300), Deflactor!$BP$299, IF(AND(AU242&gt;=Deflactor!$BQ$300,AU242&lt;Deflactor!$BQ$301), Deflactor!$BP$300, IF(AND(AU242&gt;=Deflactor!$BQ$301,AU242&lt;Deflactor!$BQ$302), Deflactor!$BP$301, IF(AND(AU242&gt;=Deflactor!$BQ$302,AU242&lt;Deflactor!$BQ$303), Deflactor!$BP$302, IF(AND(AU242&gt;=Deflactor!$BQ$303,AU242&lt;Deflactor!$BQ$304), Deflactor!$BP$303, IF(AND(AU242&gt;=Deflactor!$BQ$304,AU242&lt;Deflactor!$BQ$305), Deflactor!$BP$304, IF(AND(AU242&gt;=Deflactor!$BQ$305,AU242&lt;Deflactor!$BQ$306), Deflactor!$BP$305, IF(AND(AU242&gt;=Deflactor!$BQ$306,AU242&lt;Deflactor!$BQ$307), Deflactor!$BP$306, Deflactor!$BP$307) ) ) ) ) ) ) ) ) )</f>
        <v>4</v>
      </c>
    </row>
    <row r="243" spans="1:48" x14ac:dyDescent="0.25">
      <c r="A243" s="3">
        <v>2010</v>
      </c>
      <c r="B243" s="3" t="s">
        <v>317</v>
      </c>
      <c r="C243" s="3" t="s">
        <v>7</v>
      </c>
      <c r="D243" s="3" t="s">
        <v>12</v>
      </c>
      <c r="E243" s="3" t="s">
        <v>61</v>
      </c>
      <c r="F243" s="3" t="s">
        <v>310</v>
      </c>
      <c r="G243" s="3"/>
      <c r="H243" s="12"/>
      <c r="I243" s="13"/>
      <c r="J243" s="10"/>
      <c r="K243" s="3"/>
      <c r="L243" s="3"/>
      <c r="M243" s="3"/>
      <c r="N243" s="3"/>
      <c r="O243" s="3"/>
      <c r="P243" s="3"/>
      <c r="Q243" s="3"/>
      <c r="R243" s="3"/>
      <c r="S243" s="3"/>
      <c r="T243" s="3"/>
      <c r="U243" s="3"/>
      <c r="V243" s="3"/>
      <c r="W243" s="10" t="str">
        <f>IF( J243="s.i", "s.i", IF(ISBLANK(J243),"Actualizando información",IFERROR(J243 / VLOOKUP(A243,Deflactor!$G$3:$H$64,2,0),"Revisar error" )))</f>
        <v>Actualizando información</v>
      </c>
      <c r="AR243" s="10">
        <f xml:space="preserve"> 895698 * 1000</f>
        <v>895698000</v>
      </c>
      <c r="AT243" s="46">
        <f t="shared" si="9"/>
        <v>895698000</v>
      </c>
      <c r="AU243" s="54">
        <f xml:space="preserve"> IFERROR(ROUND(AT243 / VLOOKUP(A243,Tabla1[#All],2,0),0),"s.i")</f>
        <v>1754975</v>
      </c>
      <c r="AV243" s="33">
        <f xml:space="preserve"> IF(AU243="s.i", "s.i", IF(AND(AU243&gt;=Deflactor!$BQ$298,AU243&lt;Deflactor!$BQ$299), Deflactor!$BP$298, IF(AND(AU243&gt;=Deflactor!$BQ$299,AU243&lt;Deflactor!$BQ$300), Deflactor!$BP$299, IF(AND(AU243&gt;=Deflactor!$BQ$300,AU243&lt;Deflactor!$BQ$301), Deflactor!$BP$300, IF(AND(AU243&gt;=Deflactor!$BQ$301,AU243&lt;Deflactor!$BQ$302), Deflactor!$BP$301, IF(AND(AU243&gt;=Deflactor!$BQ$302,AU243&lt;Deflactor!$BQ$303), Deflactor!$BP$302, IF(AND(AU243&gt;=Deflactor!$BQ$303,AU243&lt;Deflactor!$BQ$304), Deflactor!$BP$303, IF(AND(AU243&gt;=Deflactor!$BQ$304,AU243&lt;Deflactor!$BQ$305), Deflactor!$BP$304, IF(AND(AU243&gt;=Deflactor!$BQ$305,AU243&lt;Deflactor!$BQ$306), Deflactor!$BP$305, IF(AND(AU243&gt;=Deflactor!$BQ$306,AU243&lt;Deflactor!$BQ$307), Deflactor!$BP$306, Deflactor!$BP$307) ) ) ) ) ) ) ) ) )</f>
        <v>1</v>
      </c>
    </row>
    <row r="244" spans="1:48" x14ac:dyDescent="0.25">
      <c r="A244" s="3">
        <v>2010</v>
      </c>
      <c r="B244" s="3" t="s">
        <v>318</v>
      </c>
      <c r="C244" s="3" t="s">
        <v>7</v>
      </c>
      <c r="D244" s="3" t="s">
        <v>12</v>
      </c>
      <c r="E244" s="3" t="s">
        <v>61</v>
      </c>
      <c r="F244" s="3" t="s">
        <v>310</v>
      </c>
      <c r="G244" s="3"/>
      <c r="H244" s="12"/>
      <c r="I244" s="13"/>
      <c r="J244" s="10"/>
      <c r="K244" s="3"/>
      <c r="L244" s="3"/>
      <c r="M244" s="3"/>
      <c r="N244" s="3"/>
      <c r="O244" s="3"/>
      <c r="P244" s="3"/>
      <c r="Q244" s="3"/>
      <c r="R244" s="3"/>
      <c r="S244" s="3"/>
      <c r="T244" s="3"/>
      <c r="U244" s="3"/>
      <c r="V244" s="3"/>
      <c r="W244" s="10" t="str">
        <f>IF( J244="s.i", "s.i", IF(ISBLANK(J244),"Actualizando información",IFERROR(J244 / VLOOKUP(A244,Deflactor!$G$3:$H$64,2,0),"Revisar error" )))</f>
        <v>Actualizando información</v>
      </c>
      <c r="AR244" s="10">
        <f xml:space="preserve"> 112750 * 1000</f>
        <v>112750000</v>
      </c>
      <c r="AT244" s="46">
        <f t="shared" si="9"/>
        <v>112750000</v>
      </c>
      <c r="AU244" s="54">
        <f xml:space="preserve"> IFERROR(ROUND(AT244 / VLOOKUP(A244,Tabla1[#All],2,0),0),"s.i")</f>
        <v>220915</v>
      </c>
      <c r="AV244" s="33">
        <f xml:space="preserve"> IF(AU244="s.i", "s.i", IF(AND(AU244&gt;=Deflactor!$BQ$298,AU244&lt;Deflactor!$BQ$299), Deflactor!$BP$298, IF(AND(AU244&gt;=Deflactor!$BQ$299,AU244&lt;Deflactor!$BQ$300), Deflactor!$BP$299, IF(AND(AU244&gt;=Deflactor!$BQ$300,AU244&lt;Deflactor!$BQ$301), Deflactor!$BP$300, IF(AND(AU244&gt;=Deflactor!$BQ$301,AU244&lt;Deflactor!$BQ$302), Deflactor!$BP$301, IF(AND(AU244&gt;=Deflactor!$BQ$302,AU244&lt;Deflactor!$BQ$303), Deflactor!$BP$302, IF(AND(AU244&gt;=Deflactor!$BQ$303,AU244&lt;Deflactor!$BQ$304), Deflactor!$BP$303, IF(AND(AU244&gt;=Deflactor!$BQ$304,AU244&lt;Deflactor!$BQ$305), Deflactor!$BP$304, IF(AND(AU244&gt;=Deflactor!$BQ$305,AU244&lt;Deflactor!$BQ$306), Deflactor!$BP$305, IF(AND(AU244&gt;=Deflactor!$BQ$306,AU244&lt;Deflactor!$BQ$307), Deflactor!$BP$306, Deflactor!$BP$307) ) ) ) ) ) ) ) ) )</f>
        <v>1</v>
      </c>
    </row>
    <row r="245" spans="1:48" x14ac:dyDescent="0.25">
      <c r="A245" s="3">
        <v>2010</v>
      </c>
      <c r="B245" s="3" t="s">
        <v>319</v>
      </c>
      <c r="C245" s="3" t="s">
        <v>7</v>
      </c>
      <c r="D245" s="3" t="s">
        <v>12</v>
      </c>
      <c r="E245" s="3" t="s">
        <v>61</v>
      </c>
      <c r="F245" s="3" t="s">
        <v>310</v>
      </c>
      <c r="G245" s="3"/>
      <c r="H245" s="12"/>
      <c r="I245" s="13"/>
      <c r="J245" s="10"/>
      <c r="K245" s="3"/>
      <c r="L245" s="3"/>
      <c r="M245" s="3"/>
      <c r="N245" s="3"/>
      <c r="O245" s="3"/>
      <c r="P245" s="3"/>
      <c r="Q245" s="3"/>
      <c r="R245" s="3"/>
      <c r="S245" s="3"/>
      <c r="T245" s="3"/>
      <c r="U245" s="3"/>
      <c r="V245" s="3"/>
      <c r="W245" s="10" t="str">
        <f>IF( J245="s.i", "s.i", IF(ISBLANK(J245),"Actualizando información",IFERROR(J245 / VLOOKUP(A245,Deflactor!$G$3:$H$64,2,0),"Revisar error" )))</f>
        <v>Actualizando información</v>
      </c>
      <c r="AR245" s="10">
        <f xml:space="preserve"> 458619 * 1000</f>
        <v>458619000</v>
      </c>
      <c r="AT245" s="46">
        <f t="shared" si="9"/>
        <v>458619000</v>
      </c>
      <c r="AU245" s="54">
        <f xml:space="preserve"> IFERROR(ROUND(AT245 / VLOOKUP(A245,Tabla1[#All],2,0),0),"s.i")</f>
        <v>898589</v>
      </c>
      <c r="AV245" s="33">
        <f xml:space="preserve"> IF(AU245="s.i", "s.i", IF(AND(AU245&gt;=Deflactor!$BQ$298,AU245&lt;Deflactor!$BQ$299), Deflactor!$BP$298, IF(AND(AU245&gt;=Deflactor!$BQ$299,AU245&lt;Deflactor!$BQ$300), Deflactor!$BP$299, IF(AND(AU245&gt;=Deflactor!$BQ$300,AU245&lt;Deflactor!$BQ$301), Deflactor!$BP$300, IF(AND(AU245&gt;=Deflactor!$BQ$301,AU245&lt;Deflactor!$BQ$302), Deflactor!$BP$301, IF(AND(AU245&gt;=Deflactor!$BQ$302,AU245&lt;Deflactor!$BQ$303), Deflactor!$BP$302, IF(AND(AU245&gt;=Deflactor!$BQ$303,AU245&lt;Deflactor!$BQ$304), Deflactor!$BP$303, IF(AND(AU245&gt;=Deflactor!$BQ$304,AU245&lt;Deflactor!$BQ$305), Deflactor!$BP$304, IF(AND(AU245&gt;=Deflactor!$BQ$305,AU245&lt;Deflactor!$BQ$306), Deflactor!$BP$305, IF(AND(AU245&gt;=Deflactor!$BQ$306,AU245&lt;Deflactor!$BQ$307), Deflactor!$BP$306, Deflactor!$BP$307) ) ) ) ) ) ) ) ) )</f>
        <v>1</v>
      </c>
    </row>
    <row r="246" spans="1:48" x14ac:dyDescent="0.25">
      <c r="A246" s="3">
        <v>2010</v>
      </c>
      <c r="B246" s="3" t="s">
        <v>320</v>
      </c>
      <c r="C246" s="3" t="s">
        <v>7</v>
      </c>
      <c r="D246" s="3" t="s">
        <v>12</v>
      </c>
      <c r="E246" s="3" t="s">
        <v>61</v>
      </c>
      <c r="F246" s="3" t="s">
        <v>310</v>
      </c>
      <c r="G246" s="3"/>
      <c r="H246" s="12"/>
      <c r="I246" s="13"/>
      <c r="J246" s="10"/>
      <c r="K246" s="3"/>
      <c r="L246" s="3"/>
      <c r="M246" s="3"/>
      <c r="N246" s="3"/>
      <c r="O246" s="3"/>
      <c r="P246" s="3"/>
      <c r="Q246" s="3"/>
      <c r="R246" s="3"/>
      <c r="S246" s="3"/>
      <c r="T246" s="3"/>
      <c r="U246" s="3"/>
      <c r="V246" s="3"/>
      <c r="W246" s="10" t="str">
        <f>IF( J246="s.i", "s.i", IF(ISBLANK(J246),"Actualizando información",IFERROR(J246 / VLOOKUP(A246,Deflactor!$G$3:$H$64,2,0),"Revisar error" )))</f>
        <v>Actualizando información</v>
      </c>
      <c r="AR246" s="10">
        <f xml:space="preserve"> 7013709 * 1000</f>
        <v>7013709000</v>
      </c>
      <c r="AT246" s="46">
        <f t="shared" si="9"/>
        <v>7013709000</v>
      </c>
      <c r="AU246" s="54">
        <f xml:space="preserve"> IFERROR(ROUND(AT246 / VLOOKUP(A246,Tabla1[#All],2,0),0),"s.i")</f>
        <v>13742222</v>
      </c>
      <c r="AV246" s="33">
        <f xml:space="preserve"> IF(AU246="s.i", "s.i", IF(AND(AU246&gt;=Deflactor!$BQ$298,AU246&lt;Deflactor!$BQ$299), Deflactor!$BP$298, IF(AND(AU246&gt;=Deflactor!$BQ$299,AU246&lt;Deflactor!$BQ$300), Deflactor!$BP$299, IF(AND(AU246&gt;=Deflactor!$BQ$300,AU246&lt;Deflactor!$BQ$301), Deflactor!$BP$300, IF(AND(AU246&gt;=Deflactor!$BQ$301,AU246&lt;Deflactor!$BQ$302), Deflactor!$BP$301, IF(AND(AU246&gt;=Deflactor!$BQ$302,AU246&lt;Deflactor!$BQ$303), Deflactor!$BP$302, IF(AND(AU246&gt;=Deflactor!$BQ$303,AU246&lt;Deflactor!$BQ$304), Deflactor!$BP$303, IF(AND(AU246&gt;=Deflactor!$BQ$304,AU246&lt;Deflactor!$BQ$305), Deflactor!$BP$304, IF(AND(AU246&gt;=Deflactor!$BQ$305,AU246&lt;Deflactor!$BQ$306), Deflactor!$BP$305, IF(AND(AU246&gt;=Deflactor!$BQ$306,AU246&lt;Deflactor!$BQ$307), Deflactor!$BP$306, Deflactor!$BP$307) ) ) ) ) ) ) ) ) )</f>
        <v>5</v>
      </c>
    </row>
    <row r="247" spans="1:48" x14ac:dyDescent="0.25">
      <c r="A247" s="3">
        <v>2010</v>
      </c>
      <c r="B247" s="3" t="s">
        <v>321</v>
      </c>
      <c r="C247" s="3" t="s">
        <v>7</v>
      </c>
      <c r="D247" s="3" t="s">
        <v>12</v>
      </c>
      <c r="E247" s="3" t="s">
        <v>61</v>
      </c>
      <c r="F247" s="3" t="s">
        <v>310</v>
      </c>
      <c r="G247" s="3"/>
      <c r="H247" s="12"/>
      <c r="I247" s="13"/>
      <c r="J247" s="10"/>
      <c r="K247" s="3"/>
      <c r="L247" s="3"/>
      <c r="M247" s="3"/>
      <c r="N247" s="3"/>
      <c r="O247" s="3"/>
      <c r="P247" s="3"/>
      <c r="Q247" s="3"/>
      <c r="R247" s="3"/>
      <c r="S247" s="3"/>
      <c r="T247" s="3"/>
      <c r="U247" s="3"/>
      <c r="V247" s="3"/>
      <c r="W247" s="10" t="str">
        <f>IF( J247="s.i", "s.i", IF(ISBLANK(J247),"Actualizando información",IFERROR(J247 / VLOOKUP(A247,Deflactor!$G$3:$H$64,2,0),"Revisar error" )))</f>
        <v>Actualizando información</v>
      </c>
      <c r="AR247" s="10">
        <f xml:space="preserve"> 2212466 * 1000</f>
        <v>2212466000</v>
      </c>
      <c r="AT247" s="46">
        <f t="shared" si="9"/>
        <v>2212466000</v>
      </c>
      <c r="AU247" s="54">
        <f xml:space="preserve"> IFERROR(ROUND(AT247 / VLOOKUP(A247,Tabla1[#All],2,0),0),"s.i")</f>
        <v>4334967</v>
      </c>
      <c r="AV247" s="33">
        <f xml:space="preserve"> IF(AU247="s.i", "s.i", IF(AND(AU247&gt;=Deflactor!$BQ$298,AU247&lt;Deflactor!$BQ$299), Deflactor!$BP$298, IF(AND(AU247&gt;=Deflactor!$BQ$299,AU247&lt;Deflactor!$BQ$300), Deflactor!$BP$299, IF(AND(AU247&gt;=Deflactor!$BQ$300,AU247&lt;Deflactor!$BQ$301), Deflactor!$BP$300, IF(AND(AU247&gt;=Deflactor!$BQ$301,AU247&lt;Deflactor!$BQ$302), Deflactor!$BP$301, IF(AND(AU247&gt;=Deflactor!$BQ$302,AU247&lt;Deflactor!$BQ$303), Deflactor!$BP$302, IF(AND(AU247&gt;=Deflactor!$BQ$303,AU247&lt;Deflactor!$BQ$304), Deflactor!$BP$303, IF(AND(AU247&gt;=Deflactor!$BQ$304,AU247&lt;Deflactor!$BQ$305), Deflactor!$BP$304, IF(AND(AU247&gt;=Deflactor!$BQ$305,AU247&lt;Deflactor!$BQ$306), Deflactor!$BP$305, IF(AND(AU247&gt;=Deflactor!$BQ$306,AU247&lt;Deflactor!$BQ$307), Deflactor!$BP$306, Deflactor!$BP$307) ) ) ) ) ) ) ) ) )</f>
        <v>2</v>
      </c>
    </row>
    <row r="248" spans="1:48" x14ac:dyDescent="0.25">
      <c r="A248" s="3">
        <v>2010</v>
      </c>
      <c r="B248" s="3" t="s">
        <v>322</v>
      </c>
      <c r="C248" s="3" t="s">
        <v>7</v>
      </c>
      <c r="D248" s="3" t="s">
        <v>12</v>
      </c>
      <c r="E248" s="3" t="s">
        <v>13</v>
      </c>
      <c r="F248" s="3" t="s">
        <v>310</v>
      </c>
      <c r="G248" s="3"/>
      <c r="H248" s="12"/>
      <c r="I248" s="13"/>
      <c r="J248" s="10"/>
      <c r="K248" s="3"/>
      <c r="L248" s="3"/>
      <c r="M248" s="3"/>
      <c r="N248" s="3"/>
      <c r="O248" s="3"/>
      <c r="P248" s="3"/>
      <c r="Q248" s="3"/>
      <c r="R248" s="3"/>
      <c r="S248" s="3"/>
      <c r="T248" s="3"/>
      <c r="U248" s="3"/>
      <c r="V248" s="3"/>
      <c r="W248" s="10" t="str">
        <f>IF( J248="s.i", "s.i", IF(ISBLANK(J248),"Actualizando información",IFERROR(J248 / VLOOKUP(A248,Deflactor!$G$3:$H$64,2,0),"Revisar error" )))</f>
        <v>Actualizando información</v>
      </c>
      <c r="AR248" s="10">
        <f xml:space="preserve"> 1431133 * 1000</f>
        <v>1431133000</v>
      </c>
      <c r="AT248" s="46">
        <f t="shared" si="9"/>
        <v>1431133000</v>
      </c>
      <c r="AU248" s="54">
        <f xml:space="preserve"> IFERROR(ROUND(AT248 / VLOOKUP(A248,Tabla1[#All],2,0),0),"s.i")</f>
        <v>2804072</v>
      </c>
      <c r="AV248" s="33">
        <f xml:space="preserve"> IF(AU248="s.i", "s.i", IF(AND(AU248&gt;=Deflactor!$BQ$298,AU248&lt;Deflactor!$BQ$299), Deflactor!$BP$298, IF(AND(AU248&gt;=Deflactor!$BQ$299,AU248&lt;Deflactor!$BQ$300), Deflactor!$BP$299, IF(AND(AU248&gt;=Deflactor!$BQ$300,AU248&lt;Deflactor!$BQ$301), Deflactor!$BP$300, IF(AND(AU248&gt;=Deflactor!$BQ$301,AU248&lt;Deflactor!$BQ$302), Deflactor!$BP$301, IF(AND(AU248&gt;=Deflactor!$BQ$302,AU248&lt;Deflactor!$BQ$303), Deflactor!$BP$302, IF(AND(AU248&gt;=Deflactor!$BQ$303,AU248&lt;Deflactor!$BQ$304), Deflactor!$BP$303, IF(AND(AU248&gt;=Deflactor!$BQ$304,AU248&lt;Deflactor!$BQ$305), Deflactor!$BP$304, IF(AND(AU248&gt;=Deflactor!$BQ$305,AU248&lt;Deflactor!$BQ$306), Deflactor!$BP$305, IF(AND(AU248&gt;=Deflactor!$BQ$306,AU248&lt;Deflactor!$BQ$307), Deflactor!$BP$306, Deflactor!$BP$307) ) ) ) ) ) ) ) ) )</f>
        <v>2</v>
      </c>
    </row>
    <row r="249" spans="1:48" x14ac:dyDescent="0.25">
      <c r="A249" s="3">
        <v>2010</v>
      </c>
      <c r="B249" s="3" t="s">
        <v>323</v>
      </c>
      <c r="C249" s="3" t="s">
        <v>92</v>
      </c>
      <c r="D249" s="3" t="s">
        <v>36</v>
      </c>
      <c r="E249" s="3" t="s">
        <v>37</v>
      </c>
      <c r="F249" s="3" t="s">
        <v>89</v>
      </c>
      <c r="G249" s="3" t="s">
        <v>723</v>
      </c>
      <c r="H249" s="12">
        <v>1999</v>
      </c>
      <c r="I249" s="13" t="s">
        <v>623</v>
      </c>
      <c r="J249" s="10">
        <f xml:space="preserve"> 141370509 * 1000</f>
        <v>141370509000</v>
      </c>
      <c r="K249" s="3" t="s">
        <v>1666</v>
      </c>
      <c r="L249" s="3" t="s">
        <v>1587</v>
      </c>
      <c r="M249" s="3" t="s">
        <v>1588</v>
      </c>
      <c r="N249" s="16" t="s">
        <v>1597</v>
      </c>
      <c r="O249" s="3"/>
      <c r="P249" s="3"/>
      <c r="Q249" s="3"/>
      <c r="R249" s="3" t="s">
        <v>1590</v>
      </c>
      <c r="S249" s="3" t="s">
        <v>1590</v>
      </c>
      <c r="T249" s="3" t="s">
        <v>1591</v>
      </c>
      <c r="U249" s="3" t="s">
        <v>1592</v>
      </c>
      <c r="V249" s="3"/>
      <c r="W249" s="10">
        <f>IF( J249="s.i", "s.i", IF(ISBLANK(J249),"Actualizando información",IFERROR(J249 / VLOOKUP(A249,Deflactor!$G$3:$H$64,2,0),"Revisar error" )))</f>
        <v>150332635540.5304</v>
      </c>
      <c r="AR249" s="34">
        <f xml:space="preserve"> 132129142 * 1000</f>
        <v>132129142000</v>
      </c>
      <c r="AT249" s="46">
        <f t="shared" si="9"/>
        <v>132129142000</v>
      </c>
      <c r="AU249" s="54">
        <f xml:space="preserve"> IFERROR(ROUND(AT249 / VLOOKUP(A249,Tabla1[#All],2,0),0),"s.i")</f>
        <v>258885559</v>
      </c>
      <c r="AV249" s="33">
        <f xml:space="preserve"> IF(AU249="s.i", "s.i", IF(AND(AU249&gt;=Deflactor!$BQ$298,AU249&lt;Deflactor!$BQ$299), Deflactor!$BP$298, IF(AND(AU249&gt;=Deflactor!$BQ$299,AU249&lt;Deflactor!$BQ$300), Deflactor!$BP$299, IF(AND(AU249&gt;=Deflactor!$BQ$300,AU249&lt;Deflactor!$BQ$301), Deflactor!$BP$300, IF(AND(AU249&gt;=Deflactor!$BQ$301,AU249&lt;Deflactor!$BQ$302), Deflactor!$BP$301, IF(AND(AU249&gt;=Deflactor!$BQ$302,AU249&lt;Deflactor!$BQ$303), Deflactor!$BP$302, IF(AND(AU249&gt;=Deflactor!$BQ$303,AU249&lt;Deflactor!$BQ$304), Deflactor!$BP$303, IF(AND(AU249&gt;=Deflactor!$BQ$304,AU249&lt;Deflactor!$BQ$305), Deflactor!$BP$304, IF(AND(AU249&gt;=Deflactor!$BQ$305,AU249&lt;Deflactor!$BQ$306), Deflactor!$BP$305, IF(AND(AU249&gt;=Deflactor!$BQ$306,AU249&lt;Deflactor!$BQ$307), Deflactor!$BP$306, Deflactor!$BP$307) ) ) ) ) ) ) ) ) )</f>
        <v>10</v>
      </c>
    </row>
    <row r="250" spans="1:48" x14ac:dyDescent="0.25">
      <c r="A250" s="3">
        <v>2010</v>
      </c>
      <c r="B250" s="3" t="s">
        <v>324</v>
      </c>
      <c r="C250" s="3" t="s">
        <v>92</v>
      </c>
      <c r="D250" s="3" t="s">
        <v>36</v>
      </c>
      <c r="E250" s="3" t="s">
        <v>37</v>
      </c>
      <c r="F250" s="3" t="s">
        <v>89</v>
      </c>
      <c r="G250" s="3" t="s">
        <v>623</v>
      </c>
      <c r="H250" s="12">
        <v>1990</v>
      </c>
      <c r="I250" s="13" t="s">
        <v>623</v>
      </c>
      <c r="J250" s="10" t="s">
        <v>623</v>
      </c>
      <c r="K250" s="3" t="s">
        <v>1649</v>
      </c>
      <c r="L250" s="3" t="s">
        <v>1598</v>
      </c>
      <c r="M250" s="3" t="s">
        <v>1599</v>
      </c>
      <c r="N250" s="3" t="s">
        <v>1600</v>
      </c>
      <c r="O250" s="3" t="s">
        <v>1601</v>
      </c>
      <c r="P250" s="3" t="s">
        <v>1602</v>
      </c>
      <c r="Q250" s="3"/>
      <c r="R250" s="3" t="s">
        <v>1603</v>
      </c>
      <c r="S250" s="3" t="s">
        <v>1604</v>
      </c>
      <c r="T250" s="3" t="s">
        <v>1605</v>
      </c>
      <c r="U250" s="3" t="s">
        <v>1606</v>
      </c>
      <c r="V250" s="3"/>
      <c r="W250" s="10" t="str">
        <f>IF( J250="s.i", "s.i", IF(ISBLANK(J250),"Actualizando información",IFERROR(J250 / VLOOKUP(A250,Deflactor!$G$3:$H$64,2,0),"Revisar error" )))</f>
        <v>s.i</v>
      </c>
      <c r="AR250" s="34">
        <f xml:space="preserve"> 513259 * 1000</f>
        <v>513259000</v>
      </c>
      <c r="AT250" s="46">
        <f t="shared" si="9"/>
        <v>513259000</v>
      </c>
      <c r="AU250" s="54">
        <f xml:space="preserve"> IFERROR(ROUND(AT250 / VLOOKUP(A250,Tabla1[#All],2,0),0),"s.i")</f>
        <v>1005648</v>
      </c>
      <c r="AV250" s="33">
        <f xml:space="preserve"> IF(AU250="s.i", "s.i", IF(AND(AU250&gt;=Deflactor!$BQ$298,AU250&lt;Deflactor!$BQ$299), Deflactor!$BP$298, IF(AND(AU250&gt;=Deflactor!$BQ$299,AU250&lt;Deflactor!$BQ$300), Deflactor!$BP$299, IF(AND(AU250&gt;=Deflactor!$BQ$300,AU250&lt;Deflactor!$BQ$301), Deflactor!$BP$300, IF(AND(AU250&gt;=Deflactor!$BQ$301,AU250&lt;Deflactor!$BQ$302), Deflactor!$BP$301, IF(AND(AU250&gt;=Deflactor!$BQ$302,AU250&lt;Deflactor!$BQ$303), Deflactor!$BP$302, IF(AND(AU250&gt;=Deflactor!$BQ$303,AU250&lt;Deflactor!$BQ$304), Deflactor!$BP$303, IF(AND(AU250&gt;=Deflactor!$BQ$304,AU250&lt;Deflactor!$BQ$305), Deflactor!$BP$304, IF(AND(AU250&gt;=Deflactor!$BQ$305,AU250&lt;Deflactor!$BQ$306), Deflactor!$BP$305, IF(AND(AU250&gt;=Deflactor!$BQ$306,AU250&lt;Deflactor!$BQ$307), Deflactor!$BP$306, Deflactor!$BP$307) ) ) ) ) ) ) ) ) )</f>
        <v>1</v>
      </c>
    </row>
    <row r="251" spans="1:48" x14ac:dyDescent="0.25">
      <c r="A251" s="3">
        <v>2010</v>
      </c>
      <c r="B251" s="3" t="s">
        <v>325</v>
      </c>
      <c r="C251" s="3" t="s">
        <v>92</v>
      </c>
      <c r="D251" s="3" t="s">
        <v>36</v>
      </c>
      <c r="E251" s="3" t="s">
        <v>37</v>
      </c>
      <c r="F251" s="3" t="s">
        <v>89</v>
      </c>
      <c r="G251" s="3" t="s">
        <v>623</v>
      </c>
      <c r="H251" s="12">
        <v>1990</v>
      </c>
      <c r="I251" s="13" t="s">
        <v>623</v>
      </c>
      <c r="J251" s="10" t="s">
        <v>623</v>
      </c>
      <c r="K251" s="3" t="s">
        <v>2162</v>
      </c>
      <c r="L251" s="3" t="s">
        <v>1598</v>
      </c>
      <c r="M251" s="3" t="s">
        <v>1599</v>
      </c>
      <c r="N251" s="3" t="s">
        <v>1600</v>
      </c>
      <c r="O251" s="3" t="s">
        <v>1601</v>
      </c>
      <c r="P251" s="3" t="s">
        <v>1602</v>
      </c>
      <c r="Q251" s="3"/>
      <c r="R251" s="3" t="s">
        <v>1603</v>
      </c>
      <c r="S251" s="3" t="s">
        <v>1604</v>
      </c>
      <c r="T251" s="3" t="s">
        <v>1605</v>
      </c>
      <c r="U251" s="3" t="s">
        <v>1606</v>
      </c>
      <c r="V251" s="3"/>
      <c r="W251" s="10" t="str">
        <f>IF( J251="s.i", "s.i", IF(ISBLANK(J251),"Actualizando información",IFERROR(J251 / VLOOKUP(A251,Deflactor!$G$3:$H$64,2,0),"Revisar error" )))</f>
        <v>s.i</v>
      </c>
      <c r="AR251" s="34">
        <f xml:space="preserve"> 264306 * 1000</f>
        <v>264306000</v>
      </c>
      <c r="AT251" s="46">
        <f t="shared" si="9"/>
        <v>264306000</v>
      </c>
      <c r="AU251" s="54">
        <f xml:space="preserve"> IFERROR(ROUND(AT251 / VLOOKUP(A251,Tabla1[#All],2,0),0),"s.i")</f>
        <v>517865</v>
      </c>
      <c r="AV251" s="33">
        <f xml:space="preserve"> IF(AU251="s.i", "s.i", IF(AND(AU251&gt;=Deflactor!$BQ$298,AU251&lt;Deflactor!$BQ$299), Deflactor!$BP$298, IF(AND(AU251&gt;=Deflactor!$BQ$299,AU251&lt;Deflactor!$BQ$300), Deflactor!$BP$299, IF(AND(AU251&gt;=Deflactor!$BQ$300,AU251&lt;Deflactor!$BQ$301), Deflactor!$BP$300, IF(AND(AU251&gt;=Deflactor!$BQ$301,AU251&lt;Deflactor!$BQ$302), Deflactor!$BP$301, IF(AND(AU251&gt;=Deflactor!$BQ$302,AU251&lt;Deflactor!$BQ$303), Deflactor!$BP$302, IF(AND(AU251&gt;=Deflactor!$BQ$303,AU251&lt;Deflactor!$BQ$304), Deflactor!$BP$303, IF(AND(AU251&gt;=Deflactor!$BQ$304,AU251&lt;Deflactor!$BQ$305), Deflactor!$BP$304, IF(AND(AU251&gt;=Deflactor!$BQ$305,AU251&lt;Deflactor!$BQ$306), Deflactor!$BP$305, IF(AND(AU251&gt;=Deflactor!$BQ$306,AU251&lt;Deflactor!$BQ$307), Deflactor!$BP$306, Deflactor!$BP$307) ) ) ) ) ) ) ) ) )</f>
        <v>1</v>
      </c>
    </row>
    <row r="252" spans="1:48" x14ac:dyDescent="0.25">
      <c r="A252" s="3">
        <v>2010</v>
      </c>
      <c r="B252" s="3" t="s">
        <v>326</v>
      </c>
      <c r="C252" s="3" t="s">
        <v>92</v>
      </c>
      <c r="D252" s="3" t="s">
        <v>36</v>
      </c>
      <c r="E252" s="3" t="s">
        <v>37</v>
      </c>
      <c r="F252" s="3" t="s">
        <v>89</v>
      </c>
      <c r="G252" s="3" t="s">
        <v>623</v>
      </c>
      <c r="H252" s="12">
        <v>1990</v>
      </c>
      <c r="I252" s="13" t="s">
        <v>623</v>
      </c>
      <c r="J252" s="10" t="s">
        <v>623</v>
      </c>
      <c r="K252" s="3" t="s">
        <v>1649</v>
      </c>
      <c r="L252" s="3" t="s">
        <v>1598</v>
      </c>
      <c r="M252" s="3" t="s">
        <v>1599</v>
      </c>
      <c r="N252" s="3" t="s">
        <v>1600</v>
      </c>
      <c r="O252" s="3" t="s">
        <v>1601</v>
      </c>
      <c r="P252" s="3" t="s">
        <v>1602</v>
      </c>
      <c r="Q252" s="3"/>
      <c r="R252" s="3" t="s">
        <v>1603</v>
      </c>
      <c r="S252" s="3" t="s">
        <v>1604</v>
      </c>
      <c r="T252" s="3" t="s">
        <v>1605</v>
      </c>
      <c r="U252" s="3" t="s">
        <v>1606</v>
      </c>
      <c r="V252" s="3"/>
      <c r="W252" s="10" t="str">
        <f>IF( J252="s.i", "s.i", IF(ISBLANK(J252),"Actualizando información",IFERROR(J252 / VLOOKUP(A252,Deflactor!$G$3:$H$64,2,0),"Revisar error" )))</f>
        <v>s.i</v>
      </c>
      <c r="AR252" s="34">
        <f xml:space="preserve"> (8981205 + 40600000) * 1000</f>
        <v>49581205000</v>
      </c>
      <c r="AT252" s="46">
        <f t="shared" si="9"/>
        <v>49581205000</v>
      </c>
      <c r="AU252" s="54">
        <f xml:space="preserve"> IFERROR(ROUND(AT252 / VLOOKUP(A252,Tabla1[#All],2,0),0),"s.i")</f>
        <v>97146306</v>
      </c>
      <c r="AV252" s="33">
        <f xml:space="preserve"> IF(AU252="s.i", "s.i", IF(AND(AU252&gt;=Deflactor!$BQ$298,AU252&lt;Deflactor!$BQ$299), Deflactor!$BP$298, IF(AND(AU252&gt;=Deflactor!$BQ$299,AU252&lt;Deflactor!$BQ$300), Deflactor!$BP$299, IF(AND(AU252&gt;=Deflactor!$BQ$300,AU252&lt;Deflactor!$BQ$301), Deflactor!$BP$300, IF(AND(AU252&gt;=Deflactor!$BQ$301,AU252&lt;Deflactor!$BQ$302), Deflactor!$BP$301, IF(AND(AU252&gt;=Deflactor!$BQ$302,AU252&lt;Deflactor!$BQ$303), Deflactor!$BP$302, IF(AND(AU252&gt;=Deflactor!$BQ$303,AU252&lt;Deflactor!$BQ$304), Deflactor!$BP$303, IF(AND(AU252&gt;=Deflactor!$BQ$304,AU252&lt;Deflactor!$BQ$305), Deflactor!$BP$304, IF(AND(AU252&gt;=Deflactor!$BQ$305,AU252&lt;Deflactor!$BQ$306), Deflactor!$BP$305, IF(AND(AU252&gt;=Deflactor!$BQ$306,AU252&lt;Deflactor!$BQ$307), Deflactor!$BP$306, Deflactor!$BP$307) ) ) ) ) ) ) ) ) )</f>
        <v>9</v>
      </c>
    </row>
    <row r="253" spans="1:48" x14ac:dyDescent="0.25">
      <c r="A253" s="3">
        <v>2010</v>
      </c>
      <c r="B253" s="3" t="s">
        <v>327</v>
      </c>
      <c r="C253" s="3" t="s">
        <v>92</v>
      </c>
      <c r="D253" s="3" t="s">
        <v>36</v>
      </c>
      <c r="E253" s="3" t="s">
        <v>37</v>
      </c>
      <c r="F253" s="3" t="s">
        <v>89</v>
      </c>
      <c r="G253" s="3" t="s">
        <v>623</v>
      </c>
      <c r="H253" s="12">
        <v>1990</v>
      </c>
      <c r="I253" s="13" t="s">
        <v>623</v>
      </c>
      <c r="J253" s="10" t="s">
        <v>623</v>
      </c>
      <c r="K253" s="3" t="s">
        <v>1649</v>
      </c>
      <c r="L253" s="3" t="s">
        <v>1598</v>
      </c>
      <c r="M253" s="3" t="s">
        <v>1599</v>
      </c>
      <c r="N253" s="3" t="s">
        <v>1600</v>
      </c>
      <c r="O253" s="3" t="s">
        <v>1601</v>
      </c>
      <c r="P253" s="3" t="s">
        <v>1602</v>
      </c>
      <c r="Q253" s="3"/>
      <c r="R253" s="3" t="s">
        <v>1603</v>
      </c>
      <c r="S253" s="3" t="s">
        <v>1604</v>
      </c>
      <c r="T253" s="3" t="s">
        <v>1605</v>
      </c>
      <c r="U253" s="3" t="s">
        <v>1606</v>
      </c>
      <c r="V253" s="3"/>
      <c r="W253" s="10" t="str">
        <f>IF( J253="s.i", "s.i", IF(ISBLANK(J253),"Actualizando información",IFERROR(J253 / VLOOKUP(A253,Deflactor!$G$3:$H$64,2,0),"Revisar error" )))</f>
        <v>s.i</v>
      </c>
      <c r="AR253" s="34" t="s">
        <v>2357</v>
      </c>
      <c r="AT253" s="46" t="str">
        <f>'Notas reunion'!T58</f>
        <v>s.i</v>
      </c>
      <c r="AU253" s="54" t="str">
        <f xml:space="preserve"> IFERROR(ROUND(AT253 / VLOOKUP(A253,Tabla1[#All],2,0),0),"s.i")</f>
        <v>s.i</v>
      </c>
      <c r="AV253" s="33" t="str">
        <f xml:space="preserve"> IF(AU253="s.i", "s.i", IF(AND(AU253&gt;=Deflactor!$BQ$298,AU253&lt;Deflactor!$BQ$299), Deflactor!$BP$298, IF(AND(AU253&gt;=Deflactor!$BQ$299,AU253&lt;Deflactor!$BQ$300), Deflactor!$BP$299, IF(AND(AU253&gt;=Deflactor!$BQ$300,AU253&lt;Deflactor!$BQ$301), Deflactor!$BP$300, IF(AND(AU253&gt;=Deflactor!$BQ$301,AU253&lt;Deflactor!$BQ$302), Deflactor!$BP$301, IF(AND(AU253&gt;=Deflactor!$BQ$302,AU253&lt;Deflactor!$BQ$303), Deflactor!$BP$302, IF(AND(AU253&gt;=Deflactor!$BQ$303,AU253&lt;Deflactor!$BQ$304), Deflactor!$BP$303, IF(AND(AU253&gt;=Deflactor!$BQ$304,AU253&lt;Deflactor!$BQ$305), Deflactor!$BP$304, IF(AND(AU253&gt;=Deflactor!$BQ$305,AU253&lt;Deflactor!$BQ$306), Deflactor!$BP$305, IF(AND(AU253&gt;=Deflactor!$BQ$306,AU253&lt;Deflactor!$BQ$307), Deflactor!$BP$306, Deflactor!$BP$307) ) ) ) ) ) ) ) ) )</f>
        <v>s.i</v>
      </c>
    </row>
    <row r="254" spans="1:48" x14ac:dyDescent="0.25">
      <c r="A254" s="3">
        <v>2010</v>
      </c>
      <c r="B254" s="3" t="s">
        <v>328</v>
      </c>
      <c r="C254" s="3" t="s">
        <v>7</v>
      </c>
      <c r="D254" s="3" t="s">
        <v>36</v>
      </c>
      <c r="E254" s="3" t="s">
        <v>94</v>
      </c>
      <c r="F254" s="3" t="s">
        <v>329</v>
      </c>
      <c r="G254" s="3"/>
      <c r="H254" s="12"/>
      <c r="I254" s="13"/>
      <c r="J254" s="10"/>
      <c r="K254" s="3"/>
      <c r="L254" s="3"/>
      <c r="M254" s="3"/>
      <c r="N254" s="3"/>
      <c r="O254" s="3"/>
      <c r="P254" s="3"/>
      <c r="Q254" s="3"/>
      <c r="R254" s="3"/>
      <c r="S254" s="3"/>
      <c r="T254" s="3"/>
      <c r="U254" s="3"/>
      <c r="V254" s="3"/>
      <c r="W254" s="10" t="str">
        <f>IF( J254="s.i", "s.i", IF(ISBLANK(J254),"Actualizando información",IFERROR(J254 / VLOOKUP(A254,Deflactor!$G$3:$H$64,2,0),"Revisar error" )))</f>
        <v>Actualizando información</v>
      </c>
      <c r="AR254" s="10">
        <f xml:space="preserve"> 27706466 * 1000</f>
        <v>27706466000</v>
      </c>
      <c r="AT254" s="46">
        <f t="shared" si="9"/>
        <v>27706466000</v>
      </c>
      <c r="AU254" s="54">
        <f xml:space="preserve"> IFERROR(ROUND(AT254 / VLOOKUP(A254,Tabla1[#All],2,0),0),"s.i")</f>
        <v>54286313</v>
      </c>
      <c r="AV254" s="33">
        <f xml:space="preserve"> IF(AU254="s.i", "s.i", IF(AND(AU254&gt;=Deflactor!$BQ$298,AU254&lt;Deflactor!$BQ$299), Deflactor!$BP$298, IF(AND(AU254&gt;=Deflactor!$BQ$299,AU254&lt;Deflactor!$BQ$300), Deflactor!$BP$299, IF(AND(AU254&gt;=Deflactor!$BQ$300,AU254&lt;Deflactor!$BQ$301), Deflactor!$BP$300, IF(AND(AU254&gt;=Deflactor!$BQ$301,AU254&lt;Deflactor!$BQ$302), Deflactor!$BP$301, IF(AND(AU254&gt;=Deflactor!$BQ$302,AU254&lt;Deflactor!$BQ$303), Deflactor!$BP$302, IF(AND(AU254&gt;=Deflactor!$BQ$303,AU254&lt;Deflactor!$BQ$304), Deflactor!$BP$303, IF(AND(AU254&gt;=Deflactor!$BQ$304,AU254&lt;Deflactor!$BQ$305), Deflactor!$BP$304, IF(AND(AU254&gt;=Deflactor!$BQ$305,AU254&lt;Deflactor!$BQ$306), Deflactor!$BP$305, IF(AND(AU254&gt;=Deflactor!$BQ$306,AU254&lt;Deflactor!$BQ$307), Deflactor!$BP$306, Deflactor!$BP$307) ) ) ) ) ) ) ) ) )</f>
        <v>9</v>
      </c>
    </row>
    <row r="255" spans="1:48" x14ac:dyDescent="0.25">
      <c r="A255" s="3">
        <v>2010</v>
      </c>
      <c r="B255" s="3" t="s">
        <v>330</v>
      </c>
      <c r="C255" s="3" t="s">
        <v>7</v>
      </c>
      <c r="D255" s="3" t="s">
        <v>36</v>
      </c>
      <c r="E255" s="3" t="s">
        <v>94</v>
      </c>
      <c r="F255" s="3" t="s">
        <v>329</v>
      </c>
      <c r="G255" s="3"/>
      <c r="H255" s="12"/>
      <c r="I255" s="13"/>
      <c r="J255" s="10"/>
      <c r="K255" s="3"/>
      <c r="L255" s="3"/>
      <c r="M255" s="3"/>
      <c r="N255" s="3"/>
      <c r="O255" s="3"/>
      <c r="P255" s="3"/>
      <c r="Q255" s="3"/>
      <c r="R255" s="3"/>
      <c r="S255" s="3"/>
      <c r="T255" s="3"/>
      <c r="U255" s="3"/>
      <c r="V255" s="3"/>
      <c r="W255" s="10" t="str">
        <f>IF( J255="s.i", "s.i", IF(ISBLANK(J255),"Actualizando información",IFERROR(J255 / VLOOKUP(A255,Deflactor!$G$3:$H$64,2,0),"Revisar error" )))</f>
        <v>Actualizando información</v>
      </c>
      <c r="AR255" s="10">
        <f xml:space="preserve"> 27706466 * 1000</f>
        <v>27706466000</v>
      </c>
      <c r="AT255" s="46">
        <f t="shared" si="9"/>
        <v>27706466000</v>
      </c>
      <c r="AU255" s="54">
        <f xml:space="preserve"> IFERROR(ROUND(AT255 / VLOOKUP(A255,Tabla1[#All],2,0),0),"s.i")</f>
        <v>54286313</v>
      </c>
      <c r="AV255" s="33">
        <f xml:space="preserve"> IF(AU255="s.i", "s.i", IF(AND(AU255&gt;=Deflactor!$BQ$298,AU255&lt;Deflactor!$BQ$299), Deflactor!$BP$298, IF(AND(AU255&gt;=Deflactor!$BQ$299,AU255&lt;Deflactor!$BQ$300), Deflactor!$BP$299, IF(AND(AU255&gt;=Deflactor!$BQ$300,AU255&lt;Deflactor!$BQ$301), Deflactor!$BP$300, IF(AND(AU255&gt;=Deflactor!$BQ$301,AU255&lt;Deflactor!$BQ$302), Deflactor!$BP$301, IF(AND(AU255&gt;=Deflactor!$BQ$302,AU255&lt;Deflactor!$BQ$303), Deflactor!$BP$302, IF(AND(AU255&gt;=Deflactor!$BQ$303,AU255&lt;Deflactor!$BQ$304), Deflactor!$BP$303, IF(AND(AU255&gt;=Deflactor!$BQ$304,AU255&lt;Deflactor!$BQ$305), Deflactor!$BP$304, IF(AND(AU255&gt;=Deflactor!$BQ$305,AU255&lt;Deflactor!$BQ$306), Deflactor!$BP$305, IF(AND(AU255&gt;=Deflactor!$BQ$306,AU255&lt;Deflactor!$BQ$307), Deflactor!$BP$306, Deflactor!$BP$307) ) ) ) ) ) ) ) ) )</f>
        <v>9</v>
      </c>
    </row>
    <row r="256" spans="1:48" x14ac:dyDescent="0.25">
      <c r="A256" s="3">
        <v>2010</v>
      </c>
      <c r="B256" s="3" t="s">
        <v>331</v>
      </c>
      <c r="C256" s="3" t="s">
        <v>7</v>
      </c>
      <c r="D256" s="3" t="s">
        <v>36</v>
      </c>
      <c r="E256" s="3" t="s">
        <v>94</v>
      </c>
      <c r="F256" s="3" t="s">
        <v>329</v>
      </c>
      <c r="G256" s="3"/>
      <c r="H256" s="12"/>
      <c r="I256" s="13"/>
      <c r="J256" s="10"/>
      <c r="K256" s="3"/>
      <c r="L256" s="3"/>
      <c r="M256" s="3"/>
      <c r="N256" s="3"/>
      <c r="O256" s="3"/>
      <c r="P256" s="3"/>
      <c r="Q256" s="3"/>
      <c r="R256" s="3"/>
      <c r="S256" s="3"/>
      <c r="T256" s="3"/>
      <c r="U256" s="3"/>
      <c r="V256" s="3"/>
      <c r="W256" s="10" t="str">
        <f>IF( J256="s.i", "s.i", IF(ISBLANK(J256),"Actualizando información",IFERROR(J256 / VLOOKUP(A256,Deflactor!$G$3:$H$64,2,0),"Revisar error" )))</f>
        <v>Actualizando información</v>
      </c>
      <c r="AR256" s="10">
        <f xml:space="preserve"> 27706466 * 1000</f>
        <v>27706466000</v>
      </c>
      <c r="AT256" s="46">
        <f t="shared" si="9"/>
        <v>27706466000</v>
      </c>
      <c r="AU256" s="54">
        <f xml:space="preserve"> IFERROR(ROUND(AT256 / VLOOKUP(A256,Tabla1[#All],2,0),0),"s.i")</f>
        <v>54286313</v>
      </c>
      <c r="AV256" s="33">
        <f xml:space="preserve"> IF(AU256="s.i", "s.i", IF(AND(AU256&gt;=Deflactor!$BQ$298,AU256&lt;Deflactor!$BQ$299), Deflactor!$BP$298, IF(AND(AU256&gt;=Deflactor!$BQ$299,AU256&lt;Deflactor!$BQ$300), Deflactor!$BP$299, IF(AND(AU256&gt;=Deflactor!$BQ$300,AU256&lt;Deflactor!$BQ$301), Deflactor!$BP$300, IF(AND(AU256&gt;=Deflactor!$BQ$301,AU256&lt;Deflactor!$BQ$302), Deflactor!$BP$301, IF(AND(AU256&gt;=Deflactor!$BQ$302,AU256&lt;Deflactor!$BQ$303), Deflactor!$BP$302, IF(AND(AU256&gt;=Deflactor!$BQ$303,AU256&lt;Deflactor!$BQ$304), Deflactor!$BP$303, IF(AND(AU256&gt;=Deflactor!$BQ$304,AU256&lt;Deflactor!$BQ$305), Deflactor!$BP$304, IF(AND(AU256&gt;=Deflactor!$BQ$305,AU256&lt;Deflactor!$BQ$306), Deflactor!$BP$305, IF(AND(AU256&gt;=Deflactor!$BQ$306,AU256&lt;Deflactor!$BQ$307), Deflactor!$BP$306, Deflactor!$BP$307) ) ) ) ) ) ) ) ) )</f>
        <v>9</v>
      </c>
    </row>
    <row r="257" spans="1:48" x14ac:dyDescent="0.25">
      <c r="A257" s="3">
        <v>2010</v>
      </c>
      <c r="B257" s="3" t="s">
        <v>332</v>
      </c>
      <c r="C257" s="3" t="s">
        <v>92</v>
      </c>
      <c r="D257" s="3" t="s">
        <v>36</v>
      </c>
      <c r="E257" s="3" t="s">
        <v>81</v>
      </c>
      <c r="F257" s="3" t="s">
        <v>95</v>
      </c>
      <c r="G257" s="3" t="s">
        <v>623</v>
      </c>
      <c r="H257" s="12">
        <v>1990</v>
      </c>
      <c r="I257" s="13" t="s">
        <v>623</v>
      </c>
      <c r="J257" s="10" t="s">
        <v>623</v>
      </c>
      <c r="K257" s="3" t="s">
        <v>1649</v>
      </c>
      <c r="L257" s="3" t="s">
        <v>1598</v>
      </c>
      <c r="M257" s="3" t="s">
        <v>1599</v>
      </c>
      <c r="N257" s="3" t="s">
        <v>1600</v>
      </c>
      <c r="O257" s="3" t="s">
        <v>1601</v>
      </c>
      <c r="P257" s="3" t="s">
        <v>1602</v>
      </c>
      <c r="Q257" s="3"/>
      <c r="R257" s="3" t="s">
        <v>1603</v>
      </c>
      <c r="S257" s="3" t="s">
        <v>1604</v>
      </c>
      <c r="T257" s="3" t="s">
        <v>1605</v>
      </c>
      <c r="U257" s="3" t="s">
        <v>1606</v>
      </c>
      <c r="V257" s="3"/>
      <c r="W257" s="10" t="str">
        <f>IF( J257="s.i", "s.i", IF(ISBLANK(J257),"Actualizando información",IFERROR(J257 / VLOOKUP(A257,Deflactor!$G$3:$H$64,2,0),"Revisar error" )))</f>
        <v>s.i</v>
      </c>
      <c r="AR257" s="34">
        <f xml:space="preserve"> 18270000 * 1000</f>
        <v>18270000000</v>
      </c>
      <c r="AT257" s="46">
        <f t="shared" si="9"/>
        <v>18270000000</v>
      </c>
      <c r="AU257" s="54">
        <f xml:space="preserve"> IFERROR(ROUND(AT257 / VLOOKUP(A257,Tabla1[#All],2,0),0),"s.i")</f>
        <v>35797093</v>
      </c>
      <c r="AV257" s="33">
        <f xml:space="preserve"> IF(AU257="s.i", "s.i", IF(AND(AU257&gt;=Deflactor!$BQ$298,AU257&lt;Deflactor!$BQ$299), Deflactor!$BP$298, IF(AND(AU257&gt;=Deflactor!$BQ$299,AU257&lt;Deflactor!$BQ$300), Deflactor!$BP$299, IF(AND(AU257&gt;=Deflactor!$BQ$300,AU257&lt;Deflactor!$BQ$301), Deflactor!$BP$300, IF(AND(AU257&gt;=Deflactor!$BQ$301,AU257&lt;Deflactor!$BQ$302), Deflactor!$BP$301, IF(AND(AU257&gt;=Deflactor!$BQ$302,AU257&lt;Deflactor!$BQ$303), Deflactor!$BP$302, IF(AND(AU257&gt;=Deflactor!$BQ$303,AU257&lt;Deflactor!$BQ$304), Deflactor!$BP$303, IF(AND(AU257&gt;=Deflactor!$BQ$304,AU257&lt;Deflactor!$BQ$305), Deflactor!$BP$304, IF(AND(AU257&gt;=Deflactor!$BQ$305,AU257&lt;Deflactor!$BQ$306), Deflactor!$BP$305, IF(AND(AU257&gt;=Deflactor!$BQ$306,AU257&lt;Deflactor!$BQ$307), Deflactor!$BP$306, Deflactor!$BP$307) ) ) ) ) ) ) ) ) )</f>
        <v>8</v>
      </c>
    </row>
    <row r="258" spans="1:48" x14ac:dyDescent="0.25">
      <c r="A258" s="3">
        <v>2010</v>
      </c>
      <c r="B258" s="3" t="s">
        <v>333</v>
      </c>
      <c r="C258" s="3" t="s">
        <v>7</v>
      </c>
      <c r="D258" s="3" t="s">
        <v>71</v>
      </c>
      <c r="E258" s="3" t="s">
        <v>167</v>
      </c>
      <c r="F258" s="3" t="s">
        <v>329</v>
      </c>
      <c r="G258" s="3"/>
      <c r="H258" s="12"/>
      <c r="I258" s="13"/>
      <c r="J258" s="10"/>
      <c r="K258" s="3"/>
      <c r="L258" s="3"/>
      <c r="M258" s="3"/>
      <c r="N258" s="3"/>
      <c r="O258" s="3"/>
      <c r="P258" s="3"/>
      <c r="Q258" s="3"/>
      <c r="R258" s="3"/>
      <c r="S258" s="3"/>
      <c r="T258" s="3"/>
      <c r="U258" s="3"/>
      <c r="V258" s="3"/>
      <c r="W258" s="10" t="str">
        <f>IF( J258="s.i", "s.i", IF(ISBLANK(J258),"Actualizando información",IFERROR(J258 / VLOOKUP(A258,Deflactor!$G$3:$H$64,2,0),"Revisar error" )))</f>
        <v>Actualizando información</v>
      </c>
      <c r="AR258" s="34" t="s">
        <v>2357</v>
      </c>
      <c r="AT258" s="46" t="str">
        <f>'Notas reunion'!T59</f>
        <v>s.i</v>
      </c>
      <c r="AU258" s="54" t="str">
        <f xml:space="preserve"> IFERROR(ROUND(AT258 / VLOOKUP(A258,Tabla1[#All],2,0),0),"s.i")</f>
        <v>s.i</v>
      </c>
      <c r="AV258" s="33" t="str">
        <f xml:space="preserve"> IF(AU258="s.i", "s.i", IF(AND(AU258&gt;=Deflactor!$BQ$298,AU258&lt;Deflactor!$BQ$299), Deflactor!$BP$298, IF(AND(AU258&gt;=Deflactor!$BQ$299,AU258&lt;Deflactor!$BQ$300), Deflactor!$BP$299, IF(AND(AU258&gt;=Deflactor!$BQ$300,AU258&lt;Deflactor!$BQ$301), Deflactor!$BP$300, IF(AND(AU258&gt;=Deflactor!$BQ$301,AU258&lt;Deflactor!$BQ$302), Deflactor!$BP$301, IF(AND(AU258&gt;=Deflactor!$BQ$302,AU258&lt;Deflactor!$BQ$303), Deflactor!$BP$302, IF(AND(AU258&gt;=Deflactor!$BQ$303,AU258&lt;Deflactor!$BQ$304), Deflactor!$BP$303, IF(AND(AU258&gt;=Deflactor!$BQ$304,AU258&lt;Deflactor!$BQ$305), Deflactor!$BP$304, IF(AND(AU258&gt;=Deflactor!$BQ$305,AU258&lt;Deflactor!$BQ$306), Deflactor!$BP$305, IF(AND(AU258&gt;=Deflactor!$BQ$306,AU258&lt;Deflactor!$BQ$307), Deflactor!$BP$306, Deflactor!$BP$307) ) ) ) ) ) ) ) ) )</f>
        <v>s.i</v>
      </c>
    </row>
    <row r="259" spans="1:48" x14ac:dyDescent="0.25">
      <c r="A259" s="3">
        <v>2010</v>
      </c>
      <c r="B259" s="3" t="s">
        <v>334</v>
      </c>
      <c r="C259" s="3" t="s">
        <v>155</v>
      </c>
      <c r="D259" s="3" t="s">
        <v>54</v>
      </c>
      <c r="E259" s="3" t="s">
        <v>335</v>
      </c>
      <c r="F259" s="3" t="s">
        <v>157</v>
      </c>
      <c r="G259" s="3"/>
      <c r="H259" s="12"/>
      <c r="I259" s="13"/>
      <c r="J259" s="10"/>
      <c r="K259" s="3"/>
      <c r="L259" s="3"/>
      <c r="M259" s="3"/>
      <c r="N259" s="3"/>
      <c r="O259" s="3"/>
      <c r="P259" s="3"/>
      <c r="Q259" s="3"/>
      <c r="R259" s="3"/>
      <c r="S259" s="3"/>
      <c r="T259" s="3"/>
      <c r="U259" s="3"/>
      <c r="V259" s="3"/>
      <c r="W259" s="10" t="str">
        <f>IF( J259="s.i", "s.i", IF(ISBLANK(J259),"Actualizando información",IFERROR(J259 / VLOOKUP(A259,Deflactor!$G$3:$H$64,2,0),"Revisar error" )))</f>
        <v>Actualizando información</v>
      </c>
      <c r="AR259" s="34" t="s">
        <v>2357</v>
      </c>
      <c r="AT259" s="46">
        <f>'Notas reunion'!T60</f>
        <v>6210093000</v>
      </c>
      <c r="AU259" s="54">
        <f xml:space="preserve"> IFERROR(ROUND(AT259 / VLOOKUP(A259,Tabla1[#All],2,0),0),"s.i")</f>
        <v>12167667</v>
      </c>
      <c r="AV259" s="33">
        <f xml:space="preserve"> IF(AU259="s.i", "s.i", IF(AND(AU259&gt;=Deflactor!$BQ$298,AU259&lt;Deflactor!$BQ$299), Deflactor!$BP$298, IF(AND(AU259&gt;=Deflactor!$BQ$299,AU259&lt;Deflactor!$BQ$300), Deflactor!$BP$299, IF(AND(AU259&gt;=Deflactor!$BQ$300,AU259&lt;Deflactor!$BQ$301), Deflactor!$BP$300, IF(AND(AU259&gt;=Deflactor!$BQ$301,AU259&lt;Deflactor!$BQ$302), Deflactor!$BP$301, IF(AND(AU259&gt;=Deflactor!$BQ$302,AU259&lt;Deflactor!$BQ$303), Deflactor!$BP$302, IF(AND(AU259&gt;=Deflactor!$BQ$303,AU259&lt;Deflactor!$BQ$304), Deflactor!$BP$303, IF(AND(AU259&gt;=Deflactor!$BQ$304,AU259&lt;Deflactor!$BQ$305), Deflactor!$BP$304, IF(AND(AU259&gt;=Deflactor!$BQ$305,AU259&lt;Deflactor!$BQ$306), Deflactor!$BP$305, IF(AND(AU259&gt;=Deflactor!$BQ$306,AU259&lt;Deflactor!$BQ$307), Deflactor!$BP$306, Deflactor!$BP$307) ) ) ) ) ) ) ) ) )</f>
        <v>5</v>
      </c>
    </row>
    <row r="260" spans="1:48" x14ac:dyDescent="0.25">
      <c r="A260" s="3">
        <v>2010</v>
      </c>
      <c r="B260" s="3" t="s">
        <v>336</v>
      </c>
      <c r="C260" s="3" t="s">
        <v>7</v>
      </c>
      <c r="D260" s="3" t="s">
        <v>54</v>
      </c>
      <c r="E260" s="3" t="s">
        <v>236</v>
      </c>
      <c r="F260" s="3" t="s">
        <v>329</v>
      </c>
      <c r="G260" s="3"/>
      <c r="H260" s="12"/>
      <c r="I260" s="13"/>
      <c r="J260" s="10"/>
      <c r="K260" s="3"/>
      <c r="L260" s="3"/>
      <c r="M260" s="3"/>
      <c r="N260" s="3"/>
      <c r="O260" s="3"/>
      <c r="P260" s="3"/>
      <c r="Q260" s="3"/>
      <c r="R260" s="3"/>
      <c r="S260" s="3"/>
      <c r="T260" s="3"/>
      <c r="U260" s="3"/>
      <c r="V260" s="3"/>
      <c r="W260" s="10" t="str">
        <f>IF( J260="s.i", "s.i", IF(ISBLANK(J260),"Actualizando información",IFERROR(J260 / VLOOKUP(A260,Deflactor!$G$3:$H$64,2,0),"Revisar error" )))</f>
        <v>Actualizando información</v>
      </c>
      <c r="AR260" s="34" t="s">
        <v>2357</v>
      </c>
      <c r="AT260" s="46" t="str">
        <f>'Notas reunion'!T61</f>
        <v>s.i</v>
      </c>
      <c r="AU260" s="54" t="str">
        <f xml:space="preserve"> IFERROR(ROUND(AT260 / VLOOKUP(A260,Tabla1[#All],2,0),0),"s.i")</f>
        <v>s.i</v>
      </c>
      <c r="AV260" s="33" t="str">
        <f xml:space="preserve"> IF(AU260="s.i", "s.i", IF(AND(AU260&gt;=Deflactor!$BQ$298,AU260&lt;Deflactor!$BQ$299), Deflactor!$BP$298, IF(AND(AU260&gt;=Deflactor!$BQ$299,AU260&lt;Deflactor!$BQ$300), Deflactor!$BP$299, IF(AND(AU260&gt;=Deflactor!$BQ$300,AU260&lt;Deflactor!$BQ$301), Deflactor!$BP$300, IF(AND(AU260&gt;=Deflactor!$BQ$301,AU260&lt;Deflactor!$BQ$302), Deflactor!$BP$301, IF(AND(AU260&gt;=Deflactor!$BQ$302,AU260&lt;Deflactor!$BQ$303), Deflactor!$BP$302, IF(AND(AU260&gt;=Deflactor!$BQ$303,AU260&lt;Deflactor!$BQ$304), Deflactor!$BP$303, IF(AND(AU260&gt;=Deflactor!$BQ$304,AU260&lt;Deflactor!$BQ$305), Deflactor!$BP$304, IF(AND(AU260&gt;=Deflactor!$BQ$305,AU260&lt;Deflactor!$BQ$306), Deflactor!$BP$305, IF(AND(AU260&gt;=Deflactor!$BQ$306,AU260&lt;Deflactor!$BQ$307), Deflactor!$BP$306, Deflactor!$BP$307) ) ) ) ) ) ) ) ) )</f>
        <v>s.i</v>
      </c>
    </row>
    <row r="261" spans="1:48" x14ac:dyDescent="0.25">
      <c r="A261" s="3">
        <v>2010</v>
      </c>
      <c r="B261" s="3" t="s">
        <v>337</v>
      </c>
      <c r="C261" s="3" t="s">
        <v>155</v>
      </c>
      <c r="D261" s="3" t="s">
        <v>54</v>
      </c>
      <c r="E261" s="3" t="s">
        <v>55</v>
      </c>
      <c r="F261" s="3" t="s">
        <v>157</v>
      </c>
      <c r="G261" s="3"/>
      <c r="H261" s="12"/>
      <c r="I261" s="13"/>
      <c r="J261" s="10"/>
      <c r="K261" s="3"/>
      <c r="L261" s="3"/>
      <c r="M261" s="3"/>
      <c r="N261" s="3"/>
      <c r="O261" s="3"/>
      <c r="P261" s="3"/>
      <c r="Q261" s="3"/>
      <c r="R261" s="3"/>
      <c r="S261" s="3"/>
      <c r="T261" s="3"/>
      <c r="U261" s="3"/>
      <c r="V261" s="3"/>
      <c r="W261" s="10" t="str">
        <f>IF( J261="s.i", "s.i", IF(ISBLANK(J261),"Actualizando información",IFERROR(J261 / VLOOKUP(A261,Deflactor!$G$3:$H$64,2,0),"Revisar error" )))</f>
        <v>Actualizando información</v>
      </c>
      <c r="AR261" s="10">
        <f xml:space="preserve"> (1379528 + 2224947) * 1000</f>
        <v>3604475000</v>
      </c>
      <c r="AT261" s="46">
        <f t="shared" ref="AT261:AT309" si="12">AR261</f>
        <v>3604475000</v>
      </c>
      <c r="AU261" s="54">
        <f xml:space="preserve"> IFERROR(ROUND(AT261 / VLOOKUP(A261,Tabla1[#All],2,0),0),"s.i")</f>
        <v>7062382</v>
      </c>
      <c r="AV261" s="33">
        <f xml:space="preserve"> IF(AU261="s.i", "s.i", IF(AND(AU261&gt;=Deflactor!$BQ$298,AU261&lt;Deflactor!$BQ$299), Deflactor!$BP$298, IF(AND(AU261&gt;=Deflactor!$BQ$299,AU261&lt;Deflactor!$BQ$300), Deflactor!$BP$299, IF(AND(AU261&gt;=Deflactor!$BQ$300,AU261&lt;Deflactor!$BQ$301), Deflactor!$BP$300, IF(AND(AU261&gt;=Deflactor!$BQ$301,AU261&lt;Deflactor!$BQ$302), Deflactor!$BP$301, IF(AND(AU261&gt;=Deflactor!$BQ$302,AU261&lt;Deflactor!$BQ$303), Deflactor!$BP$302, IF(AND(AU261&gt;=Deflactor!$BQ$303,AU261&lt;Deflactor!$BQ$304), Deflactor!$BP$303, IF(AND(AU261&gt;=Deflactor!$BQ$304,AU261&lt;Deflactor!$BQ$305), Deflactor!$BP$304, IF(AND(AU261&gt;=Deflactor!$BQ$305,AU261&lt;Deflactor!$BQ$306), Deflactor!$BP$305, IF(AND(AU261&gt;=Deflactor!$BQ$306,AU261&lt;Deflactor!$BQ$307), Deflactor!$BP$306, Deflactor!$BP$307) ) ) ) ) ) ) ) ) )</f>
        <v>3</v>
      </c>
    </row>
    <row r="262" spans="1:48" x14ac:dyDescent="0.25">
      <c r="A262" s="3">
        <v>2010</v>
      </c>
      <c r="B262" s="3" t="s">
        <v>338</v>
      </c>
      <c r="C262" s="3" t="s">
        <v>7</v>
      </c>
      <c r="D262" s="3" t="s">
        <v>32</v>
      </c>
      <c r="E262" s="3" t="s">
        <v>33</v>
      </c>
      <c r="F262" s="3" t="s">
        <v>329</v>
      </c>
      <c r="G262" s="3"/>
      <c r="H262" s="12"/>
      <c r="I262" s="13"/>
      <c r="J262" s="10"/>
      <c r="K262" s="3"/>
      <c r="L262" s="3"/>
      <c r="M262" s="3"/>
      <c r="N262" s="3"/>
      <c r="O262" s="3"/>
      <c r="P262" s="3"/>
      <c r="Q262" s="3"/>
      <c r="R262" s="3"/>
      <c r="S262" s="3"/>
      <c r="T262" s="3"/>
      <c r="U262" s="3" t="s">
        <v>101</v>
      </c>
      <c r="V262" s="3"/>
      <c r="W262" s="10" t="str">
        <f>IF( J262="s.i", "s.i", IF(ISBLANK(J262),"Actualizando información",IFERROR(J262 / VLOOKUP(A262,Deflactor!$G$3:$H$64,2,0),"Revisar error" )))</f>
        <v>Actualizando información</v>
      </c>
      <c r="AR262" s="10">
        <f xml:space="preserve"> 25374999 * 1000</f>
        <v>25374999000</v>
      </c>
      <c r="AT262" s="46">
        <f t="shared" si="12"/>
        <v>25374999000</v>
      </c>
      <c r="AU262" s="54">
        <f xml:space="preserve"> IFERROR(ROUND(AT262 / VLOOKUP(A262,Tabla1[#All],2,0),0),"s.i")</f>
        <v>49718183</v>
      </c>
      <c r="AV262" s="33">
        <f xml:space="preserve"> IF(AU262="s.i", "s.i", IF(AND(AU262&gt;=Deflactor!$BQ$298,AU262&lt;Deflactor!$BQ$299), Deflactor!$BP$298, IF(AND(AU262&gt;=Deflactor!$BQ$299,AU262&lt;Deflactor!$BQ$300), Deflactor!$BP$299, IF(AND(AU262&gt;=Deflactor!$BQ$300,AU262&lt;Deflactor!$BQ$301), Deflactor!$BP$300, IF(AND(AU262&gt;=Deflactor!$BQ$301,AU262&lt;Deflactor!$BQ$302), Deflactor!$BP$301, IF(AND(AU262&gt;=Deflactor!$BQ$302,AU262&lt;Deflactor!$BQ$303), Deflactor!$BP$302, IF(AND(AU262&gt;=Deflactor!$BQ$303,AU262&lt;Deflactor!$BQ$304), Deflactor!$BP$303, IF(AND(AU262&gt;=Deflactor!$BQ$304,AU262&lt;Deflactor!$BQ$305), Deflactor!$BP$304, IF(AND(AU262&gt;=Deflactor!$BQ$305,AU262&lt;Deflactor!$BQ$306), Deflactor!$BP$305, IF(AND(AU262&gt;=Deflactor!$BQ$306,AU262&lt;Deflactor!$BQ$307), Deflactor!$BP$306, Deflactor!$BP$307) ) ) ) ) ) ) ) ) )</f>
        <v>8</v>
      </c>
    </row>
    <row r="263" spans="1:48" x14ac:dyDescent="0.25">
      <c r="A263" s="3">
        <v>2010</v>
      </c>
      <c r="B263" s="3" t="s">
        <v>339</v>
      </c>
      <c r="C263" s="3" t="s">
        <v>7</v>
      </c>
      <c r="D263" s="3" t="s">
        <v>32</v>
      </c>
      <c r="E263" s="3" t="s">
        <v>33</v>
      </c>
      <c r="F263" s="3" t="s">
        <v>310</v>
      </c>
      <c r="G263" s="3"/>
      <c r="H263" s="12"/>
      <c r="I263" s="13"/>
      <c r="J263" s="10"/>
      <c r="K263" s="3"/>
      <c r="L263" s="3"/>
      <c r="M263" s="3"/>
      <c r="N263" s="3"/>
      <c r="O263" s="3"/>
      <c r="P263" s="3"/>
      <c r="Q263" s="3"/>
      <c r="R263" s="3"/>
      <c r="S263" s="3"/>
      <c r="T263" s="3"/>
      <c r="U263" s="3"/>
      <c r="V263" s="3"/>
      <c r="W263" s="10" t="str">
        <f>IF( J263="s.i", "s.i", IF(ISBLANK(J263),"Actualizando información",IFERROR(J263 / VLOOKUP(A263,Deflactor!$G$3:$H$64,2,0),"Revisar error" )))</f>
        <v>Actualizando información</v>
      </c>
      <c r="AR263" s="34" t="s">
        <v>2357</v>
      </c>
      <c r="AT263" s="46" t="str">
        <f>'Notas reunion'!T62</f>
        <v>s.i</v>
      </c>
      <c r="AU263" s="54" t="str">
        <f xml:space="preserve"> IFERROR(ROUND(AT263 / VLOOKUP(A263,Tabla1[#All],2,0),0),"s.i")</f>
        <v>s.i</v>
      </c>
      <c r="AV263" s="33" t="str">
        <f xml:space="preserve"> IF(AU263="s.i", "s.i", IF(AND(AU263&gt;=Deflactor!$BQ$298,AU263&lt;Deflactor!$BQ$299), Deflactor!$BP$298, IF(AND(AU263&gt;=Deflactor!$BQ$299,AU263&lt;Deflactor!$BQ$300), Deflactor!$BP$299, IF(AND(AU263&gt;=Deflactor!$BQ$300,AU263&lt;Deflactor!$BQ$301), Deflactor!$BP$300, IF(AND(AU263&gt;=Deflactor!$BQ$301,AU263&lt;Deflactor!$BQ$302), Deflactor!$BP$301, IF(AND(AU263&gt;=Deflactor!$BQ$302,AU263&lt;Deflactor!$BQ$303), Deflactor!$BP$302, IF(AND(AU263&gt;=Deflactor!$BQ$303,AU263&lt;Deflactor!$BQ$304), Deflactor!$BP$303, IF(AND(AU263&gt;=Deflactor!$BQ$304,AU263&lt;Deflactor!$BQ$305), Deflactor!$BP$304, IF(AND(AU263&gt;=Deflactor!$BQ$305,AU263&lt;Deflactor!$BQ$306), Deflactor!$BP$305, IF(AND(AU263&gt;=Deflactor!$BQ$306,AU263&lt;Deflactor!$BQ$307), Deflactor!$BP$306, Deflactor!$BP$307) ) ) ) ) ) ) ) ) )</f>
        <v>s.i</v>
      </c>
    </row>
    <row r="264" spans="1:48" x14ac:dyDescent="0.25">
      <c r="A264" s="3">
        <v>2010</v>
      </c>
      <c r="B264" s="3" t="s">
        <v>340</v>
      </c>
      <c r="C264" s="3" t="s">
        <v>7</v>
      </c>
      <c r="D264" s="3" t="s">
        <v>290</v>
      </c>
      <c r="E264" s="3" t="s">
        <v>21</v>
      </c>
      <c r="F264" s="3" t="s">
        <v>308</v>
      </c>
      <c r="G264" s="3" t="s">
        <v>903</v>
      </c>
      <c r="H264" s="12">
        <v>2007</v>
      </c>
      <c r="I264" s="13">
        <v>2011</v>
      </c>
      <c r="J264" s="10">
        <f xml:space="preserve"> 13905 * 1000000</f>
        <v>13905000000</v>
      </c>
      <c r="K264" s="3" t="s">
        <v>861</v>
      </c>
      <c r="L264" s="3" t="s">
        <v>904</v>
      </c>
      <c r="M264" s="3" t="s">
        <v>905</v>
      </c>
      <c r="N264" s="3" t="s">
        <v>906</v>
      </c>
      <c r="O264" s="3" t="s">
        <v>907</v>
      </c>
      <c r="P264" s="3" t="s">
        <v>908</v>
      </c>
      <c r="Q264" s="3" t="s">
        <v>894</v>
      </c>
      <c r="R264" s="11" t="s">
        <v>909</v>
      </c>
      <c r="S264" s="11" t="s">
        <v>910</v>
      </c>
      <c r="T264" s="11" t="s">
        <v>911</v>
      </c>
      <c r="U264" s="3" t="s">
        <v>1142</v>
      </c>
      <c r="V264" s="3"/>
      <c r="W264" s="10">
        <f>IF( J264="s.i", "s.i", IF(ISBLANK(J264),"Actualizando información",IFERROR(J264 / VLOOKUP(A264,Deflactor!$G$3:$H$64,2,0),"Revisar error" )))</f>
        <v>14786501880.608461</v>
      </c>
      <c r="AR264" s="34">
        <f xml:space="preserve"> (7807594 + 5375466) * 1000</f>
        <v>13183060000</v>
      </c>
      <c r="AT264" s="46">
        <f t="shared" si="12"/>
        <v>13183060000</v>
      </c>
      <c r="AU264" s="54">
        <f xml:space="preserve"> IFERROR(ROUND(AT264 / VLOOKUP(A264,Tabla1[#All],2,0),0),"s.i")</f>
        <v>25830062</v>
      </c>
      <c r="AV264" s="33">
        <f xml:space="preserve"> IF(AU264="s.i", "s.i", IF(AND(AU264&gt;=Deflactor!$BQ$298,AU264&lt;Deflactor!$BQ$299), Deflactor!$BP$298, IF(AND(AU264&gt;=Deflactor!$BQ$299,AU264&lt;Deflactor!$BQ$300), Deflactor!$BP$299, IF(AND(AU264&gt;=Deflactor!$BQ$300,AU264&lt;Deflactor!$BQ$301), Deflactor!$BP$300, IF(AND(AU264&gt;=Deflactor!$BQ$301,AU264&lt;Deflactor!$BQ$302), Deflactor!$BP$301, IF(AND(AU264&gt;=Deflactor!$BQ$302,AU264&lt;Deflactor!$BQ$303), Deflactor!$BP$302, IF(AND(AU264&gt;=Deflactor!$BQ$303,AU264&lt;Deflactor!$BQ$304), Deflactor!$BP$303, IF(AND(AU264&gt;=Deflactor!$BQ$304,AU264&lt;Deflactor!$BQ$305), Deflactor!$BP$304, IF(AND(AU264&gt;=Deflactor!$BQ$305,AU264&lt;Deflactor!$BQ$306), Deflactor!$BP$305, IF(AND(AU264&gt;=Deflactor!$BQ$306,AU264&lt;Deflactor!$BQ$307), Deflactor!$BP$306, Deflactor!$BP$307) ) ) ) ) ) ) ) ) )</f>
        <v>7</v>
      </c>
    </row>
    <row r="265" spans="1:48" x14ac:dyDescent="0.25">
      <c r="A265" s="3">
        <v>2010</v>
      </c>
      <c r="B265" s="3" t="s">
        <v>341</v>
      </c>
      <c r="C265" s="3" t="s">
        <v>92</v>
      </c>
      <c r="D265" s="3" t="s">
        <v>36</v>
      </c>
      <c r="E265" s="3" t="s">
        <v>37</v>
      </c>
      <c r="F265" s="3" t="s">
        <v>89</v>
      </c>
      <c r="G265" s="3" t="s">
        <v>723</v>
      </c>
      <c r="H265" s="12">
        <v>1998</v>
      </c>
      <c r="I265" s="13" t="s">
        <v>623</v>
      </c>
      <c r="J265" s="10">
        <f xml:space="preserve"> 141370509 * 1000</f>
        <v>141370509000</v>
      </c>
      <c r="K265" s="3" t="s">
        <v>1666</v>
      </c>
      <c r="L265" s="3" t="s">
        <v>1587</v>
      </c>
      <c r="M265" s="3" t="s">
        <v>1588</v>
      </c>
      <c r="N265" s="3" t="s">
        <v>1607</v>
      </c>
      <c r="O265" s="3"/>
      <c r="P265" s="3"/>
      <c r="Q265" s="3"/>
      <c r="R265" s="3" t="s">
        <v>1590</v>
      </c>
      <c r="S265" s="3" t="s">
        <v>1590</v>
      </c>
      <c r="T265" s="3" t="s">
        <v>1591</v>
      </c>
      <c r="U265" s="3" t="s">
        <v>1608</v>
      </c>
      <c r="V265" s="3"/>
      <c r="W265" s="10">
        <f>IF( J265="s.i", "s.i", IF(ISBLANK(J265),"Actualizando información",IFERROR(J265 / VLOOKUP(A265,Deflactor!$G$3:$H$64,2,0),"Revisar error" )))</f>
        <v>150332635540.5304</v>
      </c>
      <c r="AR265" s="34">
        <f xml:space="preserve"> 132129142 * 1000</f>
        <v>132129142000</v>
      </c>
      <c r="AT265" s="46">
        <f t="shared" si="12"/>
        <v>132129142000</v>
      </c>
      <c r="AU265" s="54">
        <f xml:space="preserve"> IFERROR(ROUND(AT265 / VLOOKUP(A265,Tabla1[#All],2,0),0),"s.i")</f>
        <v>258885559</v>
      </c>
      <c r="AV265" s="33">
        <f xml:space="preserve"> IF(AU265="s.i", "s.i", IF(AND(AU265&gt;=Deflactor!$BQ$298,AU265&lt;Deflactor!$BQ$299), Deflactor!$BP$298, IF(AND(AU265&gt;=Deflactor!$BQ$299,AU265&lt;Deflactor!$BQ$300), Deflactor!$BP$299, IF(AND(AU265&gt;=Deflactor!$BQ$300,AU265&lt;Deflactor!$BQ$301), Deflactor!$BP$300, IF(AND(AU265&gt;=Deflactor!$BQ$301,AU265&lt;Deflactor!$BQ$302), Deflactor!$BP$301, IF(AND(AU265&gt;=Deflactor!$BQ$302,AU265&lt;Deflactor!$BQ$303), Deflactor!$BP$302, IF(AND(AU265&gt;=Deflactor!$BQ$303,AU265&lt;Deflactor!$BQ$304), Deflactor!$BP$303, IF(AND(AU265&gt;=Deflactor!$BQ$304,AU265&lt;Deflactor!$BQ$305), Deflactor!$BP$304, IF(AND(AU265&gt;=Deflactor!$BQ$305,AU265&lt;Deflactor!$BQ$306), Deflactor!$BP$305, IF(AND(AU265&gt;=Deflactor!$BQ$306,AU265&lt;Deflactor!$BQ$307), Deflactor!$BP$306, Deflactor!$BP$307) ) ) ) ) ) ) ) ) )</f>
        <v>10</v>
      </c>
    </row>
    <row r="266" spans="1:48" x14ac:dyDescent="0.25">
      <c r="A266" s="3">
        <v>2010</v>
      </c>
      <c r="B266" s="3" t="s">
        <v>342</v>
      </c>
      <c r="C266" s="3" t="s">
        <v>7</v>
      </c>
      <c r="D266" s="3" t="s">
        <v>290</v>
      </c>
      <c r="E266" s="3" t="s">
        <v>291</v>
      </c>
      <c r="F266" s="3" t="s">
        <v>310</v>
      </c>
      <c r="G266" s="3"/>
      <c r="H266" s="12"/>
      <c r="I266" s="13"/>
      <c r="J266" s="10"/>
      <c r="K266" s="3"/>
      <c r="L266" s="3"/>
      <c r="M266" s="3"/>
      <c r="N266" s="3"/>
      <c r="O266" s="3"/>
      <c r="P266" s="3"/>
      <c r="Q266" s="3"/>
      <c r="R266" s="3"/>
      <c r="S266" s="3"/>
      <c r="T266" s="3"/>
      <c r="U266" s="3"/>
      <c r="V266" s="3"/>
      <c r="W266" s="10" t="str">
        <f>IF( J266="s.i", "s.i", IF(ISBLANK(J266),"Actualizando información",IFERROR(J266 / VLOOKUP(A266,Deflactor!$G$3:$H$64,2,0),"Revisar error" )))</f>
        <v>Actualizando información</v>
      </c>
      <c r="AR266" s="10">
        <f xml:space="preserve"> 11728561 * 1000</f>
        <v>11728561000</v>
      </c>
      <c r="AT266" s="46">
        <f t="shared" si="12"/>
        <v>11728561000</v>
      </c>
      <c r="AU266" s="54">
        <f xml:space="preserve"> IFERROR(ROUND(AT266 / VLOOKUP(A266,Tabla1[#All],2,0),0),"s.i")</f>
        <v>22980207</v>
      </c>
      <c r="AV266" s="33">
        <f xml:space="preserve"> IF(AU266="s.i", "s.i", IF(AND(AU266&gt;=Deflactor!$BQ$298,AU266&lt;Deflactor!$BQ$299), Deflactor!$BP$298, IF(AND(AU266&gt;=Deflactor!$BQ$299,AU266&lt;Deflactor!$BQ$300), Deflactor!$BP$299, IF(AND(AU266&gt;=Deflactor!$BQ$300,AU266&lt;Deflactor!$BQ$301), Deflactor!$BP$300, IF(AND(AU266&gt;=Deflactor!$BQ$301,AU266&lt;Deflactor!$BQ$302), Deflactor!$BP$301, IF(AND(AU266&gt;=Deflactor!$BQ$302,AU266&lt;Deflactor!$BQ$303), Deflactor!$BP$302, IF(AND(AU266&gt;=Deflactor!$BQ$303,AU266&lt;Deflactor!$BQ$304), Deflactor!$BP$303, IF(AND(AU266&gt;=Deflactor!$BQ$304,AU266&lt;Deflactor!$BQ$305), Deflactor!$BP$304, IF(AND(AU266&gt;=Deflactor!$BQ$305,AU266&lt;Deflactor!$BQ$306), Deflactor!$BP$305, IF(AND(AU266&gt;=Deflactor!$BQ$306,AU266&lt;Deflactor!$BQ$307), Deflactor!$BP$306, Deflactor!$BP$307) ) ) ) ) ) ) ) ) )</f>
        <v>7</v>
      </c>
    </row>
    <row r="267" spans="1:48" x14ac:dyDescent="0.25">
      <c r="A267" s="3">
        <v>2010</v>
      </c>
      <c r="B267" s="3" t="s">
        <v>343</v>
      </c>
      <c r="C267" s="3" t="s">
        <v>7</v>
      </c>
      <c r="D267" s="3" t="s">
        <v>233</v>
      </c>
      <c r="E267" s="3" t="s">
        <v>344</v>
      </c>
      <c r="F267" s="3" t="s">
        <v>310</v>
      </c>
      <c r="G267" s="3"/>
      <c r="H267" s="12"/>
      <c r="I267" s="13"/>
      <c r="J267" s="10"/>
      <c r="K267" s="3"/>
      <c r="L267" s="3"/>
      <c r="M267" s="3"/>
      <c r="N267" s="3"/>
      <c r="O267" s="3"/>
      <c r="P267" s="3"/>
      <c r="Q267" s="3"/>
      <c r="R267" s="3"/>
      <c r="S267" s="3"/>
      <c r="T267" s="3"/>
      <c r="U267" s="3"/>
      <c r="V267" s="3"/>
      <c r="W267" s="10" t="str">
        <f>IF( J267="s.i", "s.i", IF(ISBLANK(J267),"Actualizando información",IFERROR(J267 / VLOOKUP(A267,Deflactor!$G$3:$H$64,2,0),"Revisar error" )))</f>
        <v>Actualizando información</v>
      </c>
      <c r="AR267" s="10">
        <f xml:space="preserve"> 8881250 * 1000</f>
        <v>8881250000</v>
      </c>
      <c r="AT267" s="46">
        <f t="shared" si="12"/>
        <v>8881250000</v>
      </c>
      <c r="AU267" s="54">
        <f xml:space="preserve"> IFERROR(ROUND(AT267 / VLOOKUP(A267,Tabla1[#All],2,0),0),"s.i")</f>
        <v>17401365</v>
      </c>
      <c r="AV267" s="33">
        <f xml:space="preserve"> IF(AU267="s.i", "s.i", IF(AND(AU267&gt;=Deflactor!$BQ$298,AU267&lt;Deflactor!$BQ$299), Deflactor!$BP$298, IF(AND(AU267&gt;=Deflactor!$BQ$299,AU267&lt;Deflactor!$BQ$300), Deflactor!$BP$299, IF(AND(AU267&gt;=Deflactor!$BQ$300,AU267&lt;Deflactor!$BQ$301), Deflactor!$BP$300, IF(AND(AU267&gt;=Deflactor!$BQ$301,AU267&lt;Deflactor!$BQ$302), Deflactor!$BP$301, IF(AND(AU267&gt;=Deflactor!$BQ$302,AU267&lt;Deflactor!$BQ$303), Deflactor!$BP$302, IF(AND(AU267&gt;=Deflactor!$BQ$303,AU267&lt;Deflactor!$BQ$304), Deflactor!$BP$303, IF(AND(AU267&gt;=Deflactor!$BQ$304,AU267&lt;Deflactor!$BQ$305), Deflactor!$BP$304, IF(AND(AU267&gt;=Deflactor!$BQ$305,AU267&lt;Deflactor!$BQ$306), Deflactor!$BP$305, IF(AND(AU267&gt;=Deflactor!$BQ$306,AU267&lt;Deflactor!$BQ$307), Deflactor!$BP$306, Deflactor!$BP$307) ) ) ) ) ) ) ) ) )</f>
        <v>6</v>
      </c>
    </row>
    <row r="268" spans="1:48" x14ac:dyDescent="0.25">
      <c r="A268" s="3">
        <v>2010</v>
      </c>
      <c r="B268" s="3" t="s">
        <v>345</v>
      </c>
      <c r="C268" s="3" t="s">
        <v>92</v>
      </c>
      <c r="D268" s="3" t="s">
        <v>32</v>
      </c>
      <c r="E268" s="3" t="s">
        <v>33</v>
      </c>
      <c r="F268" s="3" t="s">
        <v>89</v>
      </c>
      <c r="G268" s="3"/>
      <c r="H268" s="12"/>
      <c r="I268" s="13"/>
      <c r="J268" s="10"/>
      <c r="K268" s="3"/>
      <c r="L268" s="3"/>
      <c r="M268" s="3"/>
      <c r="N268" s="3"/>
      <c r="O268" s="3"/>
      <c r="P268" s="3"/>
      <c r="Q268" s="3"/>
      <c r="R268" s="3"/>
      <c r="S268" s="3"/>
      <c r="T268" s="3"/>
      <c r="U268" s="3" t="s">
        <v>1327</v>
      </c>
      <c r="V268" s="3"/>
      <c r="W268" s="10" t="str">
        <f>IF( J268="s.i", "s.i", IF(ISBLANK(J268),"Actualizando información",IFERROR(J268 / VLOOKUP(A268,Deflactor!$G$3:$H$64,2,0),"Revisar error" )))</f>
        <v>Actualizando información</v>
      </c>
      <c r="AR268" s="10">
        <f xml:space="preserve"> 4685491 * 1000</f>
        <v>4685491000</v>
      </c>
      <c r="AT268" s="46">
        <f t="shared" si="12"/>
        <v>4685491000</v>
      </c>
      <c r="AU268" s="54">
        <f xml:space="preserve"> IFERROR(ROUND(AT268 / VLOOKUP(A268,Tabla1[#All],2,0),0),"s.i")</f>
        <v>9180457</v>
      </c>
      <c r="AV268" s="33">
        <f xml:space="preserve"> IF(AU268="s.i", "s.i", IF(AND(AU268&gt;=Deflactor!$BQ$298,AU268&lt;Deflactor!$BQ$299), Deflactor!$BP$298, IF(AND(AU268&gt;=Deflactor!$BQ$299,AU268&lt;Deflactor!$BQ$300), Deflactor!$BP$299, IF(AND(AU268&gt;=Deflactor!$BQ$300,AU268&lt;Deflactor!$BQ$301), Deflactor!$BP$300, IF(AND(AU268&gt;=Deflactor!$BQ$301,AU268&lt;Deflactor!$BQ$302), Deflactor!$BP$301, IF(AND(AU268&gt;=Deflactor!$BQ$302,AU268&lt;Deflactor!$BQ$303), Deflactor!$BP$302, IF(AND(AU268&gt;=Deflactor!$BQ$303,AU268&lt;Deflactor!$BQ$304), Deflactor!$BP$303, IF(AND(AU268&gt;=Deflactor!$BQ$304,AU268&lt;Deflactor!$BQ$305), Deflactor!$BP$304, IF(AND(AU268&gt;=Deflactor!$BQ$305,AU268&lt;Deflactor!$BQ$306), Deflactor!$BP$305, IF(AND(AU268&gt;=Deflactor!$BQ$306,AU268&lt;Deflactor!$BQ$307), Deflactor!$BP$306, Deflactor!$BP$307) ) ) ) ) ) ) ) ) )</f>
        <v>4</v>
      </c>
    </row>
    <row r="269" spans="1:48" x14ac:dyDescent="0.25">
      <c r="A269" s="3">
        <v>2010</v>
      </c>
      <c r="B269" s="3" t="s">
        <v>346</v>
      </c>
      <c r="C269" s="3" t="s">
        <v>92</v>
      </c>
      <c r="D269" s="3" t="s">
        <v>32</v>
      </c>
      <c r="E269" s="3" t="s">
        <v>33</v>
      </c>
      <c r="F269" s="3" t="s">
        <v>89</v>
      </c>
      <c r="G269" s="3"/>
      <c r="H269" s="12"/>
      <c r="I269" s="13"/>
      <c r="J269" s="10"/>
      <c r="K269" s="3"/>
      <c r="L269" s="3"/>
      <c r="M269" s="3"/>
      <c r="N269" s="3"/>
      <c r="O269" s="3"/>
      <c r="P269" s="3"/>
      <c r="Q269" s="3"/>
      <c r="R269" s="3"/>
      <c r="S269" s="3"/>
      <c r="T269" s="3"/>
      <c r="U269" s="3" t="s">
        <v>1327</v>
      </c>
      <c r="V269" s="3"/>
      <c r="W269" s="10" t="str">
        <f>IF( J269="s.i", "s.i", IF(ISBLANK(J269),"Actualizando información",IFERROR(J269 / VLOOKUP(A269,Deflactor!$G$3:$H$64,2,0),"Revisar error" )))</f>
        <v>Actualizando información</v>
      </c>
      <c r="AR269" s="10">
        <f xml:space="preserve"> 4685491 * 1000</f>
        <v>4685491000</v>
      </c>
      <c r="AT269" s="46">
        <f t="shared" si="12"/>
        <v>4685491000</v>
      </c>
      <c r="AU269" s="54">
        <f xml:space="preserve"> IFERROR(ROUND(AT269 / VLOOKUP(A269,Tabla1[#All],2,0),0),"s.i")</f>
        <v>9180457</v>
      </c>
      <c r="AV269" s="33">
        <f xml:space="preserve"> IF(AU269="s.i", "s.i", IF(AND(AU269&gt;=Deflactor!$BQ$298,AU269&lt;Deflactor!$BQ$299), Deflactor!$BP$298, IF(AND(AU269&gt;=Deflactor!$BQ$299,AU269&lt;Deflactor!$BQ$300), Deflactor!$BP$299, IF(AND(AU269&gt;=Deflactor!$BQ$300,AU269&lt;Deflactor!$BQ$301), Deflactor!$BP$300, IF(AND(AU269&gt;=Deflactor!$BQ$301,AU269&lt;Deflactor!$BQ$302), Deflactor!$BP$301, IF(AND(AU269&gt;=Deflactor!$BQ$302,AU269&lt;Deflactor!$BQ$303), Deflactor!$BP$302, IF(AND(AU269&gt;=Deflactor!$BQ$303,AU269&lt;Deflactor!$BQ$304), Deflactor!$BP$303, IF(AND(AU269&gt;=Deflactor!$BQ$304,AU269&lt;Deflactor!$BQ$305), Deflactor!$BP$304, IF(AND(AU269&gt;=Deflactor!$BQ$305,AU269&lt;Deflactor!$BQ$306), Deflactor!$BP$305, IF(AND(AU269&gt;=Deflactor!$BQ$306,AU269&lt;Deflactor!$BQ$307), Deflactor!$BP$306, Deflactor!$BP$307) ) ) ) ) ) ) ) ) )</f>
        <v>4</v>
      </c>
    </row>
    <row r="270" spans="1:48" x14ac:dyDescent="0.25">
      <c r="A270" s="3">
        <v>2010</v>
      </c>
      <c r="B270" s="3" t="s">
        <v>347</v>
      </c>
      <c r="C270" s="3" t="s">
        <v>155</v>
      </c>
      <c r="D270" s="3" t="s">
        <v>54</v>
      </c>
      <c r="E270" s="3" t="s">
        <v>55</v>
      </c>
      <c r="F270" s="3" t="s">
        <v>157</v>
      </c>
      <c r="G270" s="3"/>
      <c r="H270" s="12"/>
      <c r="I270" s="13"/>
      <c r="J270" s="10"/>
      <c r="K270" s="3"/>
      <c r="L270" s="3"/>
      <c r="M270" s="3"/>
      <c r="N270" s="3"/>
      <c r="O270" s="3"/>
      <c r="P270" s="3"/>
      <c r="Q270" s="3"/>
      <c r="R270" s="3"/>
      <c r="S270" s="3"/>
      <c r="T270" s="3"/>
      <c r="U270" s="3"/>
      <c r="V270" s="3"/>
      <c r="W270" s="10" t="str">
        <f>IF( J270="s.i", "s.i", IF(ISBLANK(J270),"Actualizando información",IFERROR(J270 / VLOOKUP(A270,Deflactor!$G$3:$H$64,2,0),"Revisar error" )))</f>
        <v>Actualizando información</v>
      </c>
      <c r="AR270" s="10">
        <f xml:space="preserve"> (5182717 + 15340680) * 1000</f>
        <v>20523397000</v>
      </c>
      <c r="AT270" s="46">
        <f t="shared" si="12"/>
        <v>20523397000</v>
      </c>
      <c r="AU270" s="54">
        <f xml:space="preserve"> IFERROR(ROUND(AT270 / VLOOKUP(A270,Tabla1[#All],2,0),0),"s.i")</f>
        <v>40212258</v>
      </c>
      <c r="AV270" s="33">
        <f xml:space="preserve"> IF(AU270="s.i", "s.i", IF(AND(AU270&gt;=Deflactor!$BQ$298,AU270&lt;Deflactor!$BQ$299), Deflactor!$BP$298, IF(AND(AU270&gt;=Deflactor!$BQ$299,AU270&lt;Deflactor!$BQ$300), Deflactor!$BP$299, IF(AND(AU270&gt;=Deflactor!$BQ$300,AU270&lt;Deflactor!$BQ$301), Deflactor!$BP$300, IF(AND(AU270&gt;=Deflactor!$BQ$301,AU270&lt;Deflactor!$BQ$302), Deflactor!$BP$301, IF(AND(AU270&gt;=Deflactor!$BQ$302,AU270&lt;Deflactor!$BQ$303), Deflactor!$BP$302, IF(AND(AU270&gt;=Deflactor!$BQ$303,AU270&lt;Deflactor!$BQ$304), Deflactor!$BP$303, IF(AND(AU270&gt;=Deflactor!$BQ$304,AU270&lt;Deflactor!$BQ$305), Deflactor!$BP$304, IF(AND(AU270&gt;=Deflactor!$BQ$305,AU270&lt;Deflactor!$BQ$306), Deflactor!$BP$305, IF(AND(AU270&gt;=Deflactor!$BQ$306,AU270&lt;Deflactor!$BQ$307), Deflactor!$BP$306, Deflactor!$BP$307) ) ) ) ) ) ) ) ) )</f>
        <v>8</v>
      </c>
    </row>
    <row r="271" spans="1:48" x14ac:dyDescent="0.25">
      <c r="A271" s="3">
        <v>2010</v>
      </c>
      <c r="B271" s="3" t="s">
        <v>348</v>
      </c>
      <c r="C271" s="3" t="s">
        <v>155</v>
      </c>
      <c r="D271" s="3" t="s">
        <v>54</v>
      </c>
      <c r="E271" s="3" t="s">
        <v>55</v>
      </c>
      <c r="F271" s="3" t="s">
        <v>157</v>
      </c>
      <c r="G271" s="3"/>
      <c r="H271" s="12"/>
      <c r="I271" s="13"/>
      <c r="J271" s="10"/>
      <c r="K271" s="3"/>
      <c r="L271" s="3"/>
      <c r="M271" s="3"/>
      <c r="N271" s="3"/>
      <c r="O271" s="3"/>
      <c r="P271" s="3"/>
      <c r="Q271" s="3"/>
      <c r="R271" s="3"/>
      <c r="S271" s="3"/>
      <c r="T271" s="3"/>
      <c r="U271" s="3"/>
      <c r="V271" s="3"/>
      <c r="W271" s="10" t="str">
        <f>IF( J271="s.i", "s.i", IF(ISBLANK(J271),"Actualizando información",IFERROR(J271 / VLOOKUP(A271,Deflactor!$G$3:$H$64,2,0),"Revisar error" )))</f>
        <v>Actualizando información</v>
      </c>
      <c r="AR271" s="10">
        <f xml:space="preserve"> (3583453 + 2040487) * 1000</f>
        <v>5623940000</v>
      </c>
      <c r="AT271" s="46">
        <f t="shared" si="12"/>
        <v>5623940000</v>
      </c>
      <c r="AU271" s="54">
        <f xml:space="preserve"> IFERROR(ROUND(AT271 / VLOOKUP(A271,Tabla1[#All],2,0),0),"s.i")</f>
        <v>11019196</v>
      </c>
      <c r="AV271" s="33">
        <f xml:space="preserve"> IF(AU271="s.i", "s.i", IF(AND(AU271&gt;=Deflactor!$BQ$298,AU271&lt;Deflactor!$BQ$299), Deflactor!$BP$298, IF(AND(AU271&gt;=Deflactor!$BQ$299,AU271&lt;Deflactor!$BQ$300), Deflactor!$BP$299, IF(AND(AU271&gt;=Deflactor!$BQ$300,AU271&lt;Deflactor!$BQ$301), Deflactor!$BP$300, IF(AND(AU271&gt;=Deflactor!$BQ$301,AU271&lt;Deflactor!$BQ$302), Deflactor!$BP$301, IF(AND(AU271&gt;=Deflactor!$BQ$302,AU271&lt;Deflactor!$BQ$303), Deflactor!$BP$302, IF(AND(AU271&gt;=Deflactor!$BQ$303,AU271&lt;Deflactor!$BQ$304), Deflactor!$BP$303, IF(AND(AU271&gt;=Deflactor!$BQ$304,AU271&lt;Deflactor!$BQ$305), Deflactor!$BP$304, IF(AND(AU271&gt;=Deflactor!$BQ$305,AU271&lt;Deflactor!$BQ$306), Deflactor!$BP$305, IF(AND(AU271&gt;=Deflactor!$BQ$306,AU271&lt;Deflactor!$BQ$307), Deflactor!$BP$306, Deflactor!$BP$307) ) ) ) ) ) ) ) ) )</f>
        <v>5</v>
      </c>
    </row>
    <row r="272" spans="1:48" x14ac:dyDescent="0.25">
      <c r="A272" s="3">
        <v>2009</v>
      </c>
      <c r="B272" s="3" t="s">
        <v>349</v>
      </c>
      <c r="C272" s="3" t="s">
        <v>7</v>
      </c>
      <c r="D272" s="3" t="s">
        <v>12</v>
      </c>
      <c r="E272" s="3" t="s">
        <v>13</v>
      </c>
      <c r="F272" s="3" t="s">
        <v>329</v>
      </c>
      <c r="G272" s="3"/>
      <c r="H272" s="12"/>
      <c r="I272" s="13"/>
      <c r="J272" s="10"/>
      <c r="K272" s="3"/>
      <c r="L272" s="3"/>
      <c r="M272" s="3"/>
      <c r="N272" s="3"/>
      <c r="O272" s="3"/>
      <c r="P272" s="3"/>
      <c r="Q272" s="3"/>
      <c r="R272" s="3"/>
      <c r="S272" s="3"/>
      <c r="T272" s="3"/>
      <c r="U272" s="3"/>
      <c r="V272" s="3"/>
      <c r="W272" s="10" t="str">
        <f>IF( J272="s.i", "s.i", IF(ISBLANK(J272),"Actualizando información",IFERROR(J272 / VLOOKUP(A272,Deflactor!$G$3:$H$64,2,0),"Revisar error" )))</f>
        <v>Actualizando información</v>
      </c>
      <c r="AR272" s="10">
        <f xml:space="preserve"> 7557784 * 1000</f>
        <v>7557784000</v>
      </c>
      <c r="AT272" s="46">
        <f t="shared" si="12"/>
        <v>7557784000</v>
      </c>
      <c r="AU272" s="54">
        <f xml:space="preserve"> IFERROR(ROUND(AT272 / VLOOKUP(A272,Tabla1[#All],2,0),0),"s.i")</f>
        <v>13504065</v>
      </c>
      <c r="AV272" s="33">
        <f xml:space="preserve"> IF(AU272="s.i", "s.i", IF(AND(AU272&gt;=Deflactor!$BQ$298,AU272&lt;Deflactor!$BQ$299), Deflactor!$BP$298, IF(AND(AU272&gt;=Deflactor!$BQ$299,AU272&lt;Deflactor!$BQ$300), Deflactor!$BP$299, IF(AND(AU272&gt;=Deflactor!$BQ$300,AU272&lt;Deflactor!$BQ$301), Deflactor!$BP$300, IF(AND(AU272&gt;=Deflactor!$BQ$301,AU272&lt;Deflactor!$BQ$302), Deflactor!$BP$301, IF(AND(AU272&gt;=Deflactor!$BQ$302,AU272&lt;Deflactor!$BQ$303), Deflactor!$BP$302, IF(AND(AU272&gt;=Deflactor!$BQ$303,AU272&lt;Deflactor!$BQ$304), Deflactor!$BP$303, IF(AND(AU272&gt;=Deflactor!$BQ$304,AU272&lt;Deflactor!$BQ$305), Deflactor!$BP$304, IF(AND(AU272&gt;=Deflactor!$BQ$305,AU272&lt;Deflactor!$BQ$306), Deflactor!$BP$305, IF(AND(AU272&gt;=Deflactor!$BQ$306,AU272&lt;Deflactor!$BQ$307), Deflactor!$BP$306, Deflactor!$BP$307) ) ) ) ) ) ) ) ) )</f>
        <v>5</v>
      </c>
    </row>
    <row r="273" spans="1:48" x14ac:dyDescent="0.25">
      <c r="A273" s="3">
        <v>2009</v>
      </c>
      <c r="B273" s="3" t="s">
        <v>350</v>
      </c>
      <c r="C273" s="3" t="s">
        <v>7</v>
      </c>
      <c r="D273" s="3" t="s">
        <v>12</v>
      </c>
      <c r="E273" s="3" t="s">
        <v>58</v>
      </c>
      <c r="F273" s="3" t="s">
        <v>351</v>
      </c>
      <c r="G273" s="3"/>
      <c r="H273" s="12"/>
      <c r="I273" s="13"/>
      <c r="J273" s="10"/>
      <c r="K273" s="3"/>
      <c r="L273" s="3"/>
      <c r="M273" s="3"/>
      <c r="N273" s="3"/>
      <c r="O273" s="3"/>
      <c r="P273" s="3"/>
      <c r="Q273" s="3"/>
      <c r="R273" s="3"/>
      <c r="S273" s="3"/>
      <c r="T273" s="3"/>
      <c r="U273" s="3"/>
      <c r="V273" s="3"/>
      <c r="W273" s="10" t="str">
        <f>IF( J273="s.i", "s.i", IF(ISBLANK(J273),"Actualizando información",IFERROR(J273 / VLOOKUP(A273,Deflactor!$G$3:$H$64,2,0),"Revisar error" )))</f>
        <v>Actualizando información</v>
      </c>
      <c r="AR273" s="10">
        <f xml:space="preserve"> (868185 + 3415241) * 1000</f>
        <v>4283426000</v>
      </c>
      <c r="AT273" s="46">
        <f t="shared" si="12"/>
        <v>4283426000</v>
      </c>
      <c r="AU273" s="54">
        <f xml:space="preserve"> IFERROR(ROUND(AT273 / VLOOKUP(A273,Tabla1[#All],2,0),0),"s.i")</f>
        <v>7653522</v>
      </c>
      <c r="AV273" s="33">
        <f xml:space="preserve"> IF(AU273="s.i", "s.i", IF(AND(AU273&gt;=Deflactor!$BQ$298,AU273&lt;Deflactor!$BQ$299), Deflactor!$BP$298, IF(AND(AU273&gt;=Deflactor!$BQ$299,AU273&lt;Deflactor!$BQ$300), Deflactor!$BP$299, IF(AND(AU273&gt;=Deflactor!$BQ$300,AU273&lt;Deflactor!$BQ$301), Deflactor!$BP$300, IF(AND(AU273&gt;=Deflactor!$BQ$301,AU273&lt;Deflactor!$BQ$302), Deflactor!$BP$301, IF(AND(AU273&gt;=Deflactor!$BQ$302,AU273&lt;Deflactor!$BQ$303), Deflactor!$BP$302, IF(AND(AU273&gt;=Deflactor!$BQ$303,AU273&lt;Deflactor!$BQ$304), Deflactor!$BP$303, IF(AND(AU273&gt;=Deflactor!$BQ$304,AU273&lt;Deflactor!$BQ$305), Deflactor!$BP$304, IF(AND(AU273&gt;=Deflactor!$BQ$305,AU273&lt;Deflactor!$BQ$306), Deflactor!$BP$305, IF(AND(AU273&gt;=Deflactor!$BQ$306,AU273&lt;Deflactor!$BQ$307), Deflactor!$BP$306, Deflactor!$BP$307) ) ) ) ) ) ) ) ) )</f>
        <v>4</v>
      </c>
    </row>
    <row r="274" spans="1:48" x14ac:dyDescent="0.25">
      <c r="A274" s="3">
        <v>2009</v>
      </c>
      <c r="B274" s="3" t="s">
        <v>352</v>
      </c>
      <c r="C274" s="3" t="s">
        <v>7</v>
      </c>
      <c r="D274" s="3" t="s">
        <v>12</v>
      </c>
      <c r="E274" s="3" t="s">
        <v>58</v>
      </c>
      <c r="F274" s="3" t="s">
        <v>329</v>
      </c>
      <c r="G274" s="3"/>
      <c r="H274" s="12"/>
      <c r="I274" s="13"/>
      <c r="J274" s="10"/>
      <c r="K274" s="3"/>
      <c r="L274" s="3"/>
      <c r="M274" s="3"/>
      <c r="N274" s="3"/>
      <c r="O274" s="3"/>
      <c r="P274" s="3"/>
      <c r="Q274" s="3"/>
      <c r="R274" s="3"/>
      <c r="S274" s="3"/>
      <c r="T274" s="3"/>
      <c r="U274" s="3"/>
      <c r="V274" s="3"/>
      <c r="W274" s="10" t="str">
        <f>IF( J274="s.i", "s.i", IF(ISBLANK(J274),"Actualizando información",IFERROR(J274 / VLOOKUP(A274,Deflactor!$G$3:$H$64,2,0),"Revisar error" )))</f>
        <v>Actualizando información</v>
      </c>
      <c r="AR274" s="10">
        <f xml:space="preserve"> 15272054 * 1000</f>
        <v>15272054000</v>
      </c>
      <c r="AT274" s="46">
        <f t="shared" si="12"/>
        <v>15272054000</v>
      </c>
      <c r="AU274" s="54">
        <f xml:space="preserve"> IFERROR(ROUND(AT274 / VLOOKUP(A274,Tabla1[#All],2,0),0),"s.i")</f>
        <v>27287736</v>
      </c>
      <c r="AV274" s="33">
        <f xml:space="preserve"> IF(AU274="s.i", "s.i", IF(AND(AU274&gt;=Deflactor!$BQ$298,AU274&lt;Deflactor!$BQ$299), Deflactor!$BP$298, IF(AND(AU274&gt;=Deflactor!$BQ$299,AU274&lt;Deflactor!$BQ$300), Deflactor!$BP$299, IF(AND(AU274&gt;=Deflactor!$BQ$300,AU274&lt;Deflactor!$BQ$301), Deflactor!$BP$300, IF(AND(AU274&gt;=Deflactor!$BQ$301,AU274&lt;Deflactor!$BQ$302), Deflactor!$BP$301, IF(AND(AU274&gt;=Deflactor!$BQ$302,AU274&lt;Deflactor!$BQ$303), Deflactor!$BP$302, IF(AND(AU274&gt;=Deflactor!$BQ$303,AU274&lt;Deflactor!$BQ$304), Deflactor!$BP$303, IF(AND(AU274&gt;=Deflactor!$BQ$304,AU274&lt;Deflactor!$BQ$305), Deflactor!$BP$304, IF(AND(AU274&gt;=Deflactor!$BQ$305,AU274&lt;Deflactor!$BQ$306), Deflactor!$BP$305, IF(AND(AU274&gt;=Deflactor!$BQ$306,AU274&lt;Deflactor!$BQ$307), Deflactor!$BP$306, Deflactor!$BP$307) ) ) ) ) ) ) ) ) )</f>
        <v>7</v>
      </c>
    </row>
    <row r="275" spans="1:48" x14ac:dyDescent="0.25">
      <c r="A275" s="3">
        <v>2009</v>
      </c>
      <c r="B275" s="3" t="s">
        <v>353</v>
      </c>
      <c r="C275" s="3" t="s">
        <v>7</v>
      </c>
      <c r="D275" s="3" t="s">
        <v>45</v>
      </c>
      <c r="E275" s="3" t="s">
        <v>184</v>
      </c>
      <c r="F275" s="3" t="s">
        <v>329</v>
      </c>
      <c r="G275" s="3"/>
      <c r="H275" s="12"/>
      <c r="I275" s="13"/>
      <c r="J275" s="10"/>
      <c r="K275" s="3"/>
      <c r="L275" s="3"/>
      <c r="M275" s="3"/>
      <c r="N275" s="3"/>
      <c r="O275" s="3"/>
      <c r="P275" s="3"/>
      <c r="Q275" s="3"/>
      <c r="R275" s="3"/>
      <c r="S275" s="3"/>
      <c r="T275" s="3"/>
      <c r="U275" s="3"/>
      <c r="V275" s="3"/>
      <c r="W275" s="10" t="str">
        <f>IF( J275="s.i", "s.i", IF(ISBLANK(J275),"Actualizando información",IFERROR(J275 / VLOOKUP(A275,Deflactor!$G$3:$H$64,2,0),"Revisar error" )))</f>
        <v>Actualizando información</v>
      </c>
      <c r="AR275" s="10">
        <f xml:space="preserve"> 1064320 * 1000</f>
        <v>1064320000</v>
      </c>
      <c r="AS275" s="55">
        <f xml:space="preserve"> 4933 * 1000</f>
        <v>4933000</v>
      </c>
      <c r="AT275" s="56">
        <f>AR275 + ROUND(AS275*Deflactor!BJ14,0)</f>
        <v>3825158890</v>
      </c>
      <c r="AU275" s="54">
        <f xml:space="preserve"> IFERROR(ROUND(AT275 / VLOOKUP(A275,Tabla1[#All],2,0),0),"s.i")</f>
        <v>6834701</v>
      </c>
      <c r="AV275" s="33">
        <f xml:space="preserve"> IF(AU275="s.i", "s.i", IF(AND(AU275&gt;=Deflactor!$BQ$298,AU275&lt;Deflactor!$BQ$299), Deflactor!$BP$298, IF(AND(AU275&gt;=Deflactor!$BQ$299,AU275&lt;Deflactor!$BQ$300), Deflactor!$BP$299, IF(AND(AU275&gt;=Deflactor!$BQ$300,AU275&lt;Deflactor!$BQ$301), Deflactor!$BP$300, IF(AND(AU275&gt;=Deflactor!$BQ$301,AU275&lt;Deflactor!$BQ$302), Deflactor!$BP$301, IF(AND(AU275&gt;=Deflactor!$BQ$302,AU275&lt;Deflactor!$BQ$303), Deflactor!$BP$302, IF(AND(AU275&gt;=Deflactor!$BQ$303,AU275&lt;Deflactor!$BQ$304), Deflactor!$BP$303, IF(AND(AU275&gt;=Deflactor!$BQ$304,AU275&lt;Deflactor!$BQ$305), Deflactor!$BP$304, IF(AND(AU275&gt;=Deflactor!$BQ$305,AU275&lt;Deflactor!$BQ$306), Deflactor!$BP$305, IF(AND(AU275&gt;=Deflactor!$BQ$306,AU275&lt;Deflactor!$BQ$307), Deflactor!$BP$306, Deflactor!$BP$307) ) ) ) ) ) ) ) ) )</f>
        <v>3</v>
      </c>
    </row>
    <row r="276" spans="1:48" x14ac:dyDescent="0.25">
      <c r="A276" s="3">
        <v>2009</v>
      </c>
      <c r="B276" s="3" t="s">
        <v>117</v>
      </c>
      <c r="C276" s="3" t="s">
        <v>155</v>
      </c>
      <c r="D276" s="3" t="s">
        <v>25</v>
      </c>
      <c r="E276" s="3" t="s">
        <v>26</v>
      </c>
      <c r="F276" s="3" t="s">
        <v>157</v>
      </c>
      <c r="G276" s="3"/>
      <c r="H276" s="12"/>
      <c r="I276" s="13"/>
      <c r="J276" s="10"/>
      <c r="K276" s="3"/>
      <c r="L276" s="3"/>
      <c r="M276" s="3"/>
      <c r="N276" s="3"/>
      <c r="O276" s="3"/>
      <c r="P276" s="3"/>
      <c r="Q276" s="3"/>
      <c r="R276" s="3"/>
      <c r="S276" s="3"/>
      <c r="T276" s="3"/>
      <c r="U276" s="3"/>
      <c r="V276" s="3"/>
      <c r="W276" s="10" t="str">
        <f>IF( J276="s.i", "s.i", IF(ISBLANK(J276),"Actualizando información",IFERROR(J276 / VLOOKUP(A276,Deflactor!$G$3:$H$64,2,0),"Revisar error" )))</f>
        <v>Actualizando información</v>
      </c>
      <c r="AR276" s="10">
        <f xml:space="preserve"> 18823388 * 1000</f>
        <v>18823388000</v>
      </c>
      <c r="AT276" s="46">
        <f t="shared" si="12"/>
        <v>18823388000</v>
      </c>
      <c r="AU276" s="54">
        <f xml:space="preserve"> IFERROR(ROUND(AT276 / VLOOKUP(A276,Tabla1[#All],2,0),0),"s.i")</f>
        <v>33633173</v>
      </c>
      <c r="AV276" s="33">
        <f xml:space="preserve"> IF(AU276="s.i", "s.i", IF(AND(AU276&gt;=Deflactor!$BQ$298,AU276&lt;Deflactor!$BQ$299), Deflactor!$BP$298, IF(AND(AU276&gt;=Deflactor!$BQ$299,AU276&lt;Deflactor!$BQ$300), Deflactor!$BP$299, IF(AND(AU276&gt;=Deflactor!$BQ$300,AU276&lt;Deflactor!$BQ$301), Deflactor!$BP$300, IF(AND(AU276&gt;=Deflactor!$BQ$301,AU276&lt;Deflactor!$BQ$302), Deflactor!$BP$301, IF(AND(AU276&gt;=Deflactor!$BQ$302,AU276&lt;Deflactor!$BQ$303), Deflactor!$BP$302, IF(AND(AU276&gt;=Deflactor!$BQ$303,AU276&lt;Deflactor!$BQ$304), Deflactor!$BP$303, IF(AND(AU276&gt;=Deflactor!$BQ$304,AU276&lt;Deflactor!$BQ$305), Deflactor!$BP$304, IF(AND(AU276&gt;=Deflactor!$BQ$305,AU276&lt;Deflactor!$BQ$306), Deflactor!$BP$305, IF(AND(AU276&gt;=Deflactor!$BQ$306,AU276&lt;Deflactor!$BQ$307), Deflactor!$BP$306, Deflactor!$BP$307) ) ) ) ) ) ) ) ) )</f>
        <v>8</v>
      </c>
    </row>
    <row r="277" spans="1:48" x14ac:dyDescent="0.25">
      <c r="A277" s="3">
        <v>2009</v>
      </c>
      <c r="B277" s="3" t="s">
        <v>354</v>
      </c>
      <c r="C277" s="3" t="s">
        <v>92</v>
      </c>
      <c r="D277" s="3" t="s">
        <v>25</v>
      </c>
      <c r="E277" s="3" t="s">
        <v>26</v>
      </c>
      <c r="F277" s="3" t="s">
        <v>30</v>
      </c>
      <c r="G277" s="3"/>
      <c r="H277" s="12"/>
      <c r="I277" s="13"/>
      <c r="J277" s="10"/>
      <c r="K277" s="3"/>
      <c r="L277" s="3"/>
      <c r="M277" s="3"/>
      <c r="N277" s="3"/>
      <c r="O277" s="3"/>
      <c r="P277" s="3"/>
      <c r="Q277" s="3"/>
      <c r="R277" s="3"/>
      <c r="S277" s="3"/>
      <c r="T277" s="3"/>
      <c r="U277" s="3"/>
      <c r="V277" s="3"/>
      <c r="W277" s="10" t="str">
        <f>IF( J277="s.i", "s.i", IF(ISBLANK(J277),"Actualizando información",IFERROR(J277 / VLOOKUP(A277,Deflactor!$G$3:$H$64,2,0),"Revisar error" )))</f>
        <v>Actualizando información</v>
      </c>
      <c r="AR277" s="10">
        <f t="shared" ref="AR277:AR279" si="13" xml:space="preserve"> 17991107 * 1000</f>
        <v>17991107000</v>
      </c>
      <c r="AT277" s="46">
        <f t="shared" si="12"/>
        <v>17991107000</v>
      </c>
      <c r="AU277" s="54">
        <f xml:space="preserve"> IFERROR(ROUND(AT277 / VLOOKUP(A277,Tabla1[#All],2,0),0),"s.i")</f>
        <v>32146074</v>
      </c>
      <c r="AV277" s="33">
        <f xml:space="preserve"> IF(AU277="s.i", "s.i", IF(AND(AU277&gt;=Deflactor!$BQ$298,AU277&lt;Deflactor!$BQ$299), Deflactor!$BP$298, IF(AND(AU277&gt;=Deflactor!$BQ$299,AU277&lt;Deflactor!$BQ$300), Deflactor!$BP$299, IF(AND(AU277&gt;=Deflactor!$BQ$300,AU277&lt;Deflactor!$BQ$301), Deflactor!$BP$300, IF(AND(AU277&gt;=Deflactor!$BQ$301,AU277&lt;Deflactor!$BQ$302), Deflactor!$BP$301, IF(AND(AU277&gt;=Deflactor!$BQ$302,AU277&lt;Deflactor!$BQ$303), Deflactor!$BP$302, IF(AND(AU277&gt;=Deflactor!$BQ$303,AU277&lt;Deflactor!$BQ$304), Deflactor!$BP$303, IF(AND(AU277&gt;=Deflactor!$BQ$304,AU277&lt;Deflactor!$BQ$305), Deflactor!$BP$304, IF(AND(AU277&gt;=Deflactor!$BQ$305,AU277&lt;Deflactor!$BQ$306), Deflactor!$BP$305, IF(AND(AU277&gt;=Deflactor!$BQ$306,AU277&lt;Deflactor!$BQ$307), Deflactor!$BP$306, Deflactor!$BP$307) ) ) ) ) ) ) ) ) )</f>
        <v>8</v>
      </c>
    </row>
    <row r="278" spans="1:48" x14ac:dyDescent="0.25">
      <c r="A278" s="3">
        <v>2009</v>
      </c>
      <c r="B278" s="3" t="s">
        <v>355</v>
      </c>
      <c r="C278" s="3" t="s">
        <v>92</v>
      </c>
      <c r="D278" s="3" t="s">
        <v>25</v>
      </c>
      <c r="E278" s="3" t="s">
        <v>26</v>
      </c>
      <c r="F278" s="3" t="s">
        <v>89</v>
      </c>
      <c r="G278" s="3"/>
      <c r="H278" s="12"/>
      <c r="I278" s="13"/>
      <c r="J278" s="10"/>
      <c r="K278" s="3"/>
      <c r="L278" s="3"/>
      <c r="M278" s="3"/>
      <c r="N278" s="3"/>
      <c r="O278" s="3"/>
      <c r="P278" s="3"/>
      <c r="Q278" s="3"/>
      <c r="R278" s="3"/>
      <c r="S278" s="3"/>
      <c r="T278" s="3"/>
      <c r="U278" s="3"/>
      <c r="V278" s="3"/>
      <c r="W278" s="10" t="str">
        <f>IF( J278="s.i", "s.i", IF(ISBLANK(J278),"Actualizando información",IFERROR(J278 / VLOOKUP(A278,Deflactor!$G$3:$H$64,2,0),"Revisar error" )))</f>
        <v>Actualizando información</v>
      </c>
      <c r="AR278" s="10">
        <f t="shared" si="13"/>
        <v>17991107000</v>
      </c>
      <c r="AT278" s="46">
        <f t="shared" si="12"/>
        <v>17991107000</v>
      </c>
      <c r="AU278" s="54">
        <f xml:space="preserve"> IFERROR(ROUND(AT278 / VLOOKUP(A278,Tabla1[#All],2,0),0),"s.i")</f>
        <v>32146074</v>
      </c>
      <c r="AV278" s="33">
        <f xml:space="preserve"> IF(AU278="s.i", "s.i", IF(AND(AU278&gt;=Deflactor!$BQ$298,AU278&lt;Deflactor!$BQ$299), Deflactor!$BP$298, IF(AND(AU278&gt;=Deflactor!$BQ$299,AU278&lt;Deflactor!$BQ$300), Deflactor!$BP$299, IF(AND(AU278&gt;=Deflactor!$BQ$300,AU278&lt;Deflactor!$BQ$301), Deflactor!$BP$300, IF(AND(AU278&gt;=Deflactor!$BQ$301,AU278&lt;Deflactor!$BQ$302), Deflactor!$BP$301, IF(AND(AU278&gt;=Deflactor!$BQ$302,AU278&lt;Deflactor!$BQ$303), Deflactor!$BP$302, IF(AND(AU278&gt;=Deflactor!$BQ$303,AU278&lt;Deflactor!$BQ$304), Deflactor!$BP$303, IF(AND(AU278&gt;=Deflactor!$BQ$304,AU278&lt;Deflactor!$BQ$305), Deflactor!$BP$304, IF(AND(AU278&gt;=Deflactor!$BQ$305,AU278&lt;Deflactor!$BQ$306), Deflactor!$BP$305, IF(AND(AU278&gt;=Deflactor!$BQ$306,AU278&lt;Deflactor!$BQ$307), Deflactor!$BP$306, Deflactor!$BP$307) ) ) ) ) ) ) ) ) )</f>
        <v>8</v>
      </c>
    </row>
    <row r="279" spans="1:48" x14ac:dyDescent="0.25">
      <c r="A279" s="3">
        <v>2009</v>
      </c>
      <c r="B279" s="3" t="s">
        <v>356</v>
      </c>
      <c r="C279" s="3" t="s">
        <v>92</v>
      </c>
      <c r="D279" s="3" t="s">
        <v>25</v>
      </c>
      <c r="E279" s="3" t="s">
        <v>26</v>
      </c>
      <c r="F279" s="3" t="s">
        <v>89</v>
      </c>
      <c r="G279" s="3"/>
      <c r="H279" s="12"/>
      <c r="I279" s="13"/>
      <c r="J279" s="10"/>
      <c r="K279" s="3"/>
      <c r="L279" s="3"/>
      <c r="M279" s="3"/>
      <c r="N279" s="3"/>
      <c r="O279" s="3"/>
      <c r="P279" s="3"/>
      <c r="Q279" s="3"/>
      <c r="R279" s="3"/>
      <c r="S279" s="3"/>
      <c r="T279" s="3"/>
      <c r="U279" s="3"/>
      <c r="V279" s="3"/>
      <c r="W279" s="10" t="str">
        <f>IF( J279="s.i", "s.i", IF(ISBLANK(J279),"Actualizando información",IFERROR(J279 / VLOOKUP(A279,Deflactor!$G$3:$H$64,2,0),"Revisar error" )))</f>
        <v>Actualizando información</v>
      </c>
      <c r="AR279" s="10">
        <f t="shared" si="13"/>
        <v>17991107000</v>
      </c>
      <c r="AT279" s="46">
        <f t="shared" si="12"/>
        <v>17991107000</v>
      </c>
      <c r="AU279" s="54">
        <f xml:space="preserve"> IFERROR(ROUND(AT279 / VLOOKUP(A279,Tabla1[#All],2,0),0),"s.i")</f>
        <v>32146074</v>
      </c>
      <c r="AV279" s="33">
        <f xml:space="preserve"> IF(AU279="s.i", "s.i", IF(AND(AU279&gt;=Deflactor!$BQ$298,AU279&lt;Deflactor!$BQ$299), Deflactor!$BP$298, IF(AND(AU279&gt;=Deflactor!$BQ$299,AU279&lt;Deflactor!$BQ$300), Deflactor!$BP$299, IF(AND(AU279&gt;=Deflactor!$BQ$300,AU279&lt;Deflactor!$BQ$301), Deflactor!$BP$300, IF(AND(AU279&gt;=Deflactor!$BQ$301,AU279&lt;Deflactor!$BQ$302), Deflactor!$BP$301, IF(AND(AU279&gt;=Deflactor!$BQ$302,AU279&lt;Deflactor!$BQ$303), Deflactor!$BP$302, IF(AND(AU279&gt;=Deflactor!$BQ$303,AU279&lt;Deflactor!$BQ$304), Deflactor!$BP$303, IF(AND(AU279&gt;=Deflactor!$BQ$304,AU279&lt;Deflactor!$BQ$305), Deflactor!$BP$304, IF(AND(AU279&gt;=Deflactor!$BQ$305,AU279&lt;Deflactor!$BQ$306), Deflactor!$BP$305, IF(AND(AU279&gt;=Deflactor!$BQ$306,AU279&lt;Deflactor!$BQ$307), Deflactor!$BP$306, Deflactor!$BP$307) ) ) ) ) ) ) ) ) )</f>
        <v>8</v>
      </c>
    </row>
    <row r="280" spans="1:48" x14ac:dyDescent="0.25">
      <c r="A280" s="3">
        <v>2009</v>
      </c>
      <c r="B280" s="3" t="s">
        <v>357</v>
      </c>
      <c r="C280" s="3" t="s">
        <v>283</v>
      </c>
      <c r="D280" s="3" t="s">
        <v>36</v>
      </c>
      <c r="E280" s="3" t="s">
        <v>37</v>
      </c>
      <c r="F280" s="3" t="s">
        <v>157</v>
      </c>
      <c r="G280" s="3"/>
      <c r="H280" s="12"/>
      <c r="I280" s="13"/>
      <c r="J280" s="10"/>
      <c r="K280" s="3"/>
      <c r="L280" s="3"/>
      <c r="M280" s="3"/>
      <c r="N280" s="3"/>
      <c r="O280" s="3"/>
      <c r="P280" s="3"/>
      <c r="Q280" s="3"/>
      <c r="R280" s="3"/>
      <c r="S280" s="3"/>
      <c r="T280" s="3"/>
      <c r="U280" s="3"/>
      <c r="V280" s="3"/>
      <c r="W280" s="10" t="str">
        <f>IF( J280="s.i", "s.i", IF(ISBLANK(J280),"Actualizando información",IFERROR(J280 / VLOOKUP(A280,Deflactor!$G$3:$H$64,2,0),"Revisar error" )))</f>
        <v>Actualizando información</v>
      </c>
      <c r="AR280" s="34">
        <f xml:space="preserve"> 4680068 * 1000</f>
        <v>4680068000</v>
      </c>
      <c r="AT280" s="46">
        <f t="shared" si="12"/>
        <v>4680068000</v>
      </c>
      <c r="AU280" s="54">
        <f xml:space="preserve"> IFERROR(ROUND(AT280 / VLOOKUP(A280,Tabla1[#All],2,0),0),"s.i")</f>
        <v>8362232</v>
      </c>
      <c r="AV280" s="33">
        <f xml:space="preserve"> IF(AU280="s.i", "s.i", IF(AND(AU280&gt;=Deflactor!$BQ$298,AU280&lt;Deflactor!$BQ$299), Deflactor!$BP$298, IF(AND(AU280&gt;=Deflactor!$BQ$299,AU280&lt;Deflactor!$BQ$300), Deflactor!$BP$299, IF(AND(AU280&gt;=Deflactor!$BQ$300,AU280&lt;Deflactor!$BQ$301), Deflactor!$BP$300, IF(AND(AU280&gt;=Deflactor!$BQ$301,AU280&lt;Deflactor!$BQ$302), Deflactor!$BP$301, IF(AND(AU280&gt;=Deflactor!$BQ$302,AU280&lt;Deflactor!$BQ$303), Deflactor!$BP$302, IF(AND(AU280&gt;=Deflactor!$BQ$303,AU280&lt;Deflactor!$BQ$304), Deflactor!$BP$303, IF(AND(AU280&gt;=Deflactor!$BQ$304,AU280&lt;Deflactor!$BQ$305), Deflactor!$BP$304, IF(AND(AU280&gt;=Deflactor!$BQ$305,AU280&lt;Deflactor!$BQ$306), Deflactor!$BP$305, IF(AND(AU280&gt;=Deflactor!$BQ$306,AU280&lt;Deflactor!$BQ$307), Deflactor!$BP$306, Deflactor!$BP$307) ) ) ) ) ) ) ) ) )</f>
        <v>4</v>
      </c>
    </row>
    <row r="281" spans="1:48" x14ac:dyDescent="0.25">
      <c r="A281" s="3">
        <v>2009</v>
      </c>
      <c r="B281" s="3" t="s">
        <v>358</v>
      </c>
      <c r="C281" s="3" t="s">
        <v>7</v>
      </c>
      <c r="D281" s="3" t="s">
        <v>36</v>
      </c>
      <c r="E281" s="3" t="s">
        <v>37</v>
      </c>
      <c r="F281" s="3" t="s">
        <v>329</v>
      </c>
      <c r="G281" s="3" t="s">
        <v>723</v>
      </c>
      <c r="H281" s="13">
        <v>1994</v>
      </c>
      <c r="I281" s="13"/>
      <c r="J281" s="10">
        <f xml:space="preserve"> 6230 * 1000000</f>
        <v>6230000000</v>
      </c>
      <c r="K281" s="3" t="s">
        <v>2292</v>
      </c>
      <c r="L281" s="3" t="s">
        <v>956</v>
      </c>
      <c r="M281" s="3" t="s">
        <v>957</v>
      </c>
      <c r="N281" s="3" t="s">
        <v>958</v>
      </c>
      <c r="O281" s="3" t="s">
        <v>959</v>
      </c>
      <c r="P281" s="3" t="s">
        <v>961</v>
      </c>
      <c r="Q281" s="3"/>
      <c r="R281" s="11" t="s">
        <v>953</v>
      </c>
      <c r="S281" s="11" t="s">
        <v>954</v>
      </c>
      <c r="T281" s="11" t="s">
        <v>955</v>
      </c>
      <c r="U281" s="3" t="s">
        <v>1145</v>
      </c>
      <c r="V281" s="3"/>
      <c r="W281" s="10">
        <f>IF( J281="s.i", "s.i", IF(ISBLANK(J281),"Actualizando información",IFERROR(J281 / VLOOKUP(A281,Deflactor!$G$3:$H$64,2,0),"Revisar error" )))</f>
        <v>7218695674.6454353</v>
      </c>
      <c r="AR281" s="10">
        <f xml:space="preserve"> 6112095 * 1000</f>
        <v>6112095000</v>
      </c>
      <c r="AT281" s="46">
        <f t="shared" si="12"/>
        <v>6112095000</v>
      </c>
      <c r="AU281" s="54">
        <f xml:space="preserve"> IFERROR(ROUND(AT281 / VLOOKUP(A281,Tabla1[#All],2,0),0),"s.i")</f>
        <v>10920943</v>
      </c>
      <c r="AV281" s="33">
        <f xml:space="preserve"> IF(AU281="s.i", "s.i", IF(AND(AU281&gt;=Deflactor!$BQ$298,AU281&lt;Deflactor!$BQ$299), Deflactor!$BP$298, IF(AND(AU281&gt;=Deflactor!$BQ$299,AU281&lt;Deflactor!$BQ$300), Deflactor!$BP$299, IF(AND(AU281&gt;=Deflactor!$BQ$300,AU281&lt;Deflactor!$BQ$301), Deflactor!$BP$300, IF(AND(AU281&gt;=Deflactor!$BQ$301,AU281&lt;Deflactor!$BQ$302), Deflactor!$BP$301, IF(AND(AU281&gt;=Deflactor!$BQ$302,AU281&lt;Deflactor!$BQ$303), Deflactor!$BP$302, IF(AND(AU281&gt;=Deflactor!$BQ$303,AU281&lt;Deflactor!$BQ$304), Deflactor!$BP$303, IF(AND(AU281&gt;=Deflactor!$BQ$304,AU281&lt;Deflactor!$BQ$305), Deflactor!$BP$304, IF(AND(AU281&gt;=Deflactor!$BQ$305,AU281&lt;Deflactor!$BQ$306), Deflactor!$BP$305, IF(AND(AU281&gt;=Deflactor!$BQ$306,AU281&lt;Deflactor!$BQ$307), Deflactor!$BP$306, Deflactor!$BP$307) ) ) ) ) ) ) ) ) )</f>
        <v>5</v>
      </c>
    </row>
    <row r="282" spans="1:48" x14ac:dyDescent="0.25">
      <c r="A282" s="3">
        <v>2009</v>
      </c>
      <c r="B282" s="3" t="s">
        <v>359</v>
      </c>
      <c r="C282" s="3" t="s">
        <v>7</v>
      </c>
      <c r="D282" s="3" t="s">
        <v>36</v>
      </c>
      <c r="E282" s="3" t="s">
        <v>37</v>
      </c>
      <c r="F282" s="3" t="s">
        <v>308</v>
      </c>
      <c r="G282" s="3"/>
      <c r="H282" s="12"/>
      <c r="I282" s="13"/>
      <c r="J282" s="10"/>
      <c r="K282" s="3"/>
      <c r="L282" s="3"/>
      <c r="M282" s="3"/>
      <c r="N282" s="3"/>
      <c r="O282" s="3"/>
      <c r="P282" s="3"/>
      <c r="Q282" s="3"/>
      <c r="R282" s="3"/>
      <c r="S282" s="3"/>
      <c r="T282" s="3"/>
      <c r="U282" s="3"/>
      <c r="V282" s="3"/>
      <c r="W282" s="10" t="str">
        <f>IF( J282="s.i", "s.i", IF(ISBLANK(J282),"Actualizando información",IFERROR(J282 / VLOOKUP(A282,Deflactor!$G$3:$H$64,2,0),"Revisar error" )))</f>
        <v>Actualizando información</v>
      </c>
      <c r="AR282" s="10">
        <f xml:space="preserve"> 2906387 * 1000</f>
        <v>2906387000</v>
      </c>
      <c r="AT282" s="46">
        <f t="shared" si="12"/>
        <v>2906387000</v>
      </c>
      <c r="AU282" s="54">
        <f xml:space="preserve"> IFERROR(ROUND(AT282 / VLOOKUP(A282,Tabla1[#All],2,0),0),"s.i")</f>
        <v>5193062</v>
      </c>
      <c r="AV282" s="33">
        <f xml:space="preserve"> IF(AU282="s.i", "s.i", IF(AND(AU282&gt;=Deflactor!$BQ$298,AU282&lt;Deflactor!$BQ$299), Deflactor!$BP$298, IF(AND(AU282&gt;=Deflactor!$BQ$299,AU282&lt;Deflactor!$BQ$300), Deflactor!$BP$299, IF(AND(AU282&gt;=Deflactor!$BQ$300,AU282&lt;Deflactor!$BQ$301), Deflactor!$BP$300, IF(AND(AU282&gt;=Deflactor!$BQ$301,AU282&lt;Deflactor!$BQ$302), Deflactor!$BP$301, IF(AND(AU282&gt;=Deflactor!$BQ$302,AU282&lt;Deflactor!$BQ$303), Deflactor!$BP$302, IF(AND(AU282&gt;=Deflactor!$BQ$303,AU282&lt;Deflactor!$BQ$304), Deflactor!$BP$303, IF(AND(AU282&gt;=Deflactor!$BQ$304,AU282&lt;Deflactor!$BQ$305), Deflactor!$BP$304, IF(AND(AU282&gt;=Deflactor!$BQ$305,AU282&lt;Deflactor!$BQ$306), Deflactor!$BP$305, IF(AND(AU282&gt;=Deflactor!$BQ$306,AU282&lt;Deflactor!$BQ$307), Deflactor!$BP$306, Deflactor!$BP$307) ) ) ) ) ) ) ) ) )</f>
        <v>3</v>
      </c>
    </row>
    <row r="283" spans="1:48" x14ac:dyDescent="0.25">
      <c r="A283" s="3">
        <v>2009</v>
      </c>
      <c r="B283" s="3" t="s">
        <v>360</v>
      </c>
      <c r="C283" s="3" t="s">
        <v>283</v>
      </c>
      <c r="D283" s="3" t="s">
        <v>36</v>
      </c>
      <c r="E283" s="3" t="s">
        <v>37</v>
      </c>
      <c r="F283" s="3" t="s">
        <v>95</v>
      </c>
      <c r="G283" s="3"/>
      <c r="H283" s="12"/>
      <c r="I283" s="13"/>
      <c r="J283" s="10"/>
      <c r="K283" s="3"/>
      <c r="L283" s="3"/>
      <c r="M283" s="3"/>
      <c r="N283" s="3"/>
      <c r="O283" s="3"/>
      <c r="P283" s="3"/>
      <c r="Q283" s="3"/>
      <c r="R283" s="3"/>
      <c r="S283" s="3"/>
      <c r="T283" s="3"/>
      <c r="U283" s="3"/>
      <c r="V283" s="3"/>
      <c r="W283" s="10" t="str">
        <f>IF( J283="s.i", "s.i", IF(ISBLANK(J283),"Actualizando información",IFERROR(J283 / VLOOKUP(A283,Deflactor!$G$3:$H$64,2,0),"Revisar error" )))</f>
        <v>Actualizando información</v>
      </c>
      <c r="AR283" s="10">
        <f xml:space="preserve"> 111196196 * 1000</f>
        <v>111196196000</v>
      </c>
      <c r="AT283" s="46">
        <f t="shared" si="12"/>
        <v>111196196000</v>
      </c>
      <c r="AU283" s="54">
        <f xml:space="preserve"> IFERROR(ROUND(AT283 / VLOOKUP(A283,Tabla1[#All],2,0),0),"s.i")</f>
        <v>198682667</v>
      </c>
      <c r="AV283" s="33">
        <f xml:space="preserve"> IF(AU283="s.i", "s.i", IF(AND(AU283&gt;=Deflactor!$BQ$298,AU283&lt;Deflactor!$BQ$299), Deflactor!$BP$298, IF(AND(AU283&gt;=Deflactor!$BQ$299,AU283&lt;Deflactor!$BQ$300), Deflactor!$BP$299, IF(AND(AU283&gt;=Deflactor!$BQ$300,AU283&lt;Deflactor!$BQ$301), Deflactor!$BP$300, IF(AND(AU283&gt;=Deflactor!$BQ$301,AU283&lt;Deflactor!$BQ$302), Deflactor!$BP$301, IF(AND(AU283&gt;=Deflactor!$BQ$302,AU283&lt;Deflactor!$BQ$303), Deflactor!$BP$302, IF(AND(AU283&gt;=Deflactor!$BQ$303,AU283&lt;Deflactor!$BQ$304), Deflactor!$BP$303, IF(AND(AU283&gt;=Deflactor!$BQ$304,AU283&lt;Deflactor!$BQ$305), Deflactor!$BP$304, IF(AND(AU283&gt;=Deflactor!$BQ$305,AU283&lt;Deflactor!$BQ$306), Deflactor!$BP$305, IF(AND(AU283&gt;=Deflactor!$BQ$306,AU283&lt;Deflactor!$BQ$307), Deflactor!$BP$306, Deflactor!$BP$307) ) ) ) ) ) ) ) ) )</f>
        <v>10</v>
      </c>
    </row>
    <row r="284" spans="1:48" x14ac:dyDescent="0.25">
      <c r="A284" s="3">
        <v>2009</v>
      </c>
      <c r="B284" s="3" t="s">
        <v>361</v>
      </c>
      <c r="C284" s="3" t="s">
        <v>155</v>
      </c>
      <c r="D284" s="3" t="s">
        <v>40</v>
      </c>
      <c r="E284" s="3" t="s">
        <v>41</v>
      </c>
      <c r="F284" s="3" t="s">
        <v>157</v>
      </c>
      <c r="G284" s="3"/>
      <c r="H284" s="12"/>
      <c r="I284" s="13"/>
      <c r="J284" s="10"/>
      <c r="K284" s="3"/>
      <c r="L284" s="3"/>
      <c r="M284" s="3"/>
      <c r="N284" s="3"/>
      <c r="O284" s="3"/>
      <c r="P284" s="3"/>
      <c r="Q284" s="3"/>
      <c r="R284" s="3"/>
      <c r="S284" s="3"/>
      <c r="T284" s="3"/>
      <c r="U284" s="3"/>
      <c r="V284" s="3"/>
      <c r="W284" s="10" t="str">
        <f>IF( J284="s.i", "s.i", IF(ISBLANK(J284),"Actualizando información",IFERROR(J284 / VLOOKUP(A284,Deflactor!$G$3:$H$64,2,0),"Revisar error" )))</f>
        <v>Actualizando información</v>
      </c>
      <c r="AR284" s="10">
        <f xml:space="preserve"> 632007 * 1000</f>
        <v>632007000</v>
      </c>
      <c r="AT284" s="46">
        <f t="shared" si="12"/>
        <v>632007000</v>
      </c>
      <c r="AU284" s="54">
        <f xml:space="preserve"> IFERROR(ROUND(AT284 / VLOOKUP(A284,Tabla1[#All],2,0),0),"s.i")</f>
        <v>1129255</v>
      </c>
      <c r="AV284" s="33">
        <f xml:space="preserve"> IF(AU284="s.i", "s.i", IF(AND(AU284&gt;=Deflactor!$BQ$298,AU284&lt;Deflactor!$BQ$299), Deflactor!$BP$298, IF(AND(AU284&gt;=Deflactor!$BQ$299,AU284&lt;Deflactor!$BQ$300), Deflactor!$BP$299, IF(AND(AU284&gt;=Deflactor!$BQ$300,AU284&lt;Deflactor!$BQ$301), Deflactor!$BP$300, IF(AND(AU284&gt;=Deflactor!$BQ$301,AU284&lt;Deflactor!$BQ$302), Deflactor!$BP$301, IF(AND(AU284&gt;=Deflactor!$BQ$302,AU284&lt;Deflactor!$BQ$303), Deflactor!$BP$302, IF(AND(AU284&gt;=Deflactor!$BQ$303,AU284&lt;Deflactor!$BQ$304), Deflactor!$BP$303, IF(AND(AU284&gt;=Deflactor!$BQ$304,AU284&lt;Deflactor!$BQ$305), Deflactor!$BP$304, IF(AND(AU284&gt;=Deflactor!$BQ$305,AU284&lt;Deflactor!$BQ$306), Deflactor!$BP$305, IF(AND(AU284&gt;=Deflactor!$BQ$306,AU284&lt;Deflactor!$BQ$307), Deflactor!$BP$306, Deflactor!$BP$307) ) ) ) ) ) ) ) ) )</f>
        <v>1</v>
      </c>
    </row>
    <row r="285" spans="1:48" x14ac:dyDescent="0.25">
      <c r="A285" s="3">
        <v>2009</v>
      </c>
      <c r="B285" s="3" t="s">
        <v>362</v>
      </c>
      <c r="C285" s="3" t="s">
        <v>7</v>
      </c>
      <c r="D285" s="3" t="s">
        <v>71</v>
      </c>
      <c r="E285" s="3" t="s">
        <v>167</v>
      </c>
      <c r="F285" s="3" t="s">
        <v>329</v>
      </c>
      <c r="G285" s="3"/>
      <c r="H285" s="12"/>
      <c r="I285" s="13"/>
      <c r="J285" s="10"/>
      <c r="K285" s="3"/>
      <c r="L285" s="3"/>
      <c r="M285" s="3"/>
      <c r="N285" s="3"/>
      <c r="O285" s="3"/>
      <c r="P285" s="3"/>
      <c r="Q285" s="3"/>
      <c r="R285" s="3"/>
      <c r="S285" s="3"/>
      <c r="T285" s="3"/>
      <c r="U285" s="3"/>
      <c r="V285" s="3"/>
      <c r="W285" s="10" t="str">
        <f>IF( J285="s.i", "s.i", IF(ISBLANK(J285),"Actualizando información",IFERROR(J285 / VLOOKUP(A285,Deflactor!$G$3:$H$64,2,0),"Revisar error" )))</f>
        <v>Actualizando información</v>
      </c>
      <c r="AR285" s="34" t="s">
        <v>2357</v>
      </c>
      <c r="AT285" s="46" t="str">
        <f>'Notas reunion'!T63</f>
        <v>s.i</v>
      </c>
      <c r="AU285" s="54" t="str">
        <f xml:space="preserve"> IFERROR(ROUND(AT285 / VLOOKUP(A285,Tabla1[#All],2,0),0),"s.i")</f>
        <v>s.i</v>
      </c>
      <c r="AV285" s="33" t="str">
        <f xml:space="preserve"> IF(AU285="s.i", "s.i", IF(AND(AU285&gt;=Deflactor!$BQ$298,AU285&lt;Deflactor!$BQ$299), Deflactor!$BP$298, IF(AND(AU285&gt;=Deflactor!$BQ$299,AU285&lt;Deflactor!$BQ$300), Deflactor!$BP$299, IF(AND(AU285&gt;=Deflactor!$BQ$300,AU285&lt;Deflactor!$BQ$301), Deflactor!$BP$300, IF(AND(AU285&gt;=Deflactor!$BQ$301,AU285&lt;Deflactor!$BQ$302), Deflactor!$BP$301, IF(AND(AU285&gt;=Deflactor!$BQ$302,AU285&lt;Deflactor!$BQ$303), Deflactor!$BP$302, IF(AND(AU285&gt;=Deflactor!$BQ$303,AU285&lt;Deflactor!$BQ$304), Deflactor!$BP$303, IF(AND(AU285&gt;=Deflactor!$BQ$304,AU285&lt;Deflactor!$BQ$305), Deflactor!$BP$304, IF(AND(AU285&gt;=Deflactor!$BQ$305,AU285&lt;Deflactor!$BQ$306), Deflactor!$BP$305, IF(AND(AU285&gt;=Deflactor!$BQ$306,AU285&lt;Deflactor!$BQ$307), Deflactor!$BP$306, Deflactor!$BP$307) ) ) ) ) ) ) ) ) )</f>
        <v>s.i</v>
      </c>
    </row>
    <row r="286" spans="1:48" x14ac:dyDescent="0.25">
      <c r="A286" s="3">
        <v>2009</v>
      </c>
      <c r="B286" s="3" t="s">
        <v>363</v>
      </c>
      <c r="C286" s="3" t="s">
        <v>7</v>
      </c>
      <c r="D286" s="3" t="s">
        <v>8</v>
      </c>
      <c r="E286" s="3" t="s">
        <v>264</v>
      </c>
      <c r="F286" s="3" t="s">
        <v>351</v>
      </c>
      <c r="G286" s="3"/>
      <c r="H286" s="12"/>
      <c r="I286" s="13"/>
      <c r="J286" s="10"/>
      <c r="K286" s="3"/>
      <c r="L286" s="3"/>
      <c r="M286" s="3"/>
      <c r="N286" s="3"/>
      <c r="O286" s="3"/>
      <c r="P286" s="3"/>
      <c r="Q286" s="3"/>
      <c r="R286" s="3"/>
      <c r="S286" s="3"/>
      <c r="T286" s="3"/>
      <c r="U286" s="3"/>
      <c r="V286" s="3"/>
      <c r="W286" s="10" t="str">
        <f>IF( J286="s.i", "s.i", IF(ISBLANK(J286),"Actualizando información",IFERROR(J286 / VLOOKUP(A286,Deflactor!$G$3:$H$64,2,0),"Revisar error" )))</f>
        <v>Actualizando información</v>
      </c>
      <c r="AR286" s="10">
        <f xml:space="preserve"> 9337673 * 1000</f>
        <v>9337673000</v>
      </c>
      <c r="AT286" s="46">
        <f t="shared" si="12"/>
        <v>9337673000</v>
      </c>
      <c r="AU286" s="54">
        <f xml:space="preserve"> IFERROR(ROUND(AT286 / VLOOKUP(A286,Tabla1[#All],2,0),0),"s.i")</f>
        <v>16684328</v>
      </c>
      <c r="AV286" s="33">
        <f xml:space="preserve"> IF(AU286="s.i", "s.i", IF(AND(AU286&gt;=Deflactor!$BQ$298,AU286&lt;Deflactor!$BQ$299), Deflactor!$BP$298, IF(AND(AU286&gt;=Deflactor!$BQ$299,AU286&lt;Deflactor!$BQ$300), Deflactor!$BP$299, IF(AND(AU286&gt;=Deflactor!$BQ$300,AU286&lt;Deflactor!$BQ$301), Deflactor!$BP$300, IF(AND(AU286&gt;=Deflactor!$BQ$301,AU286&lt;Deflactor!$BQ$302), Deflactor!$BP$301, IF(AND(AU286&gt;=Deflactor!$BQ$302,AU286&lt;Deflactor!$BQ$303), Deflactor!$BP$302, IF(AND(AU286&gt;=Deflactor!$BQ$303,AU286&lt;Deflactor!$BQ$304), Deflactor!$BP$303, IF(AND(AU286&gt;=Deflactor!$BQ$304,AU286&lt;Deflactor!$BQ$305), Deflactor!$BP$304, IF(AND(AU286&gt;=Deflactor!$BQ$305,AU286&lt;Deflactor!$BQ$306), Deflactor!$BP$305, IF(AND(AU286&gt;=Deflactor!$BQ$306,AU286&lt;Deflactor!$BQ$307), Deflactor!$BP$306, Deflactor!$BP$307) ) ) ) ) ) ) ) ) )</f>
        <v>6</v>
      </c>
    </row>
    <row r="287" spans="1:48" x14ac:dyDescent="0.25">
      <c r="A287" s="3">
        <v>2009</v>
      </c>
      <c r="B287" s="3" t="s">
        <v>364</v>
      </c>
      <c r="C287" s="3" t="s">
        <v>7</v>
      </c>
      <c r="D287" s="3" t="s">
        <v>8</v>
      </c>
      <c r="E287" s="3" t="s">
        <v>51</v>
      </c>
      <c r="F287" s="3" t="s">
        <v>310</v>
      </c>
      <c r="G287" s="3"/>
      <c r="H287" s="12"/>
      <c r="I287" s="13"/>
      <c r="J287" s="10"/>
      <c r="K287" s="3"/>
      <c r="L287" s="3"/>
      <c r="M287" s="3"/>
      <c r="N287" s="3"/>
      <c r="O287" s="3"/>
      <c r="P287" s="3"/>
      <c r="Q287" s="3"/>
      <c r="R287" s="3"/>
      <c r="S287" s="3"/>
      <c r="T287" s="3"/>
      <c r="U287" s="3"/>
      <c r="V287" s="3"/>
      <c r="W287" s="10" t="str">
        <f>IF( J287="s.i", "s.i", IF(ISBLANK(J287),"Actualizando información",IFERROR(J287 / VLOOKUP(A287,Deflactor!$G$3:$H$64,2,0),"Revisar error" )))</f>
        <v>Actualizando información</v>
      </c>
      <c r="AR287" s="10">
        <f xml:space="preserve"> 10547807 * 1000</f>
        <v>10547807000</v>
      </c>
      <c r="AT287" s="46">
        <f t="shared" si="12"/>
        <v>10547807000</v>
      </c>
      <c r="AU287" s="54">
        <f xml:space="preserve"> IFERROR(ROUND(AT287 / VLOOKUP(A287,Tabla1[#All],2,0),0),"s.i")</f>
        <v>18846566</v>
      </c>
      <c r="AV287" s="33">
        <f xml:space="preserve"> IF(AU287="s.i", "s.i", IF(AND(AU287&gt;=Deflactor!$BQ$298,AU287&lt;Deflactor!$BQ$299), Deflactor!$BP$298, IF(AND(AU287&gt;=Deflactor!$BQ$299,AU287&lt;Deflactor!$BQ$300), Deflactor!$BP$299, IF(AND(AU287&gt;=Deflactor!$BQ$300,AU287&lt;Deflactor!$BQ$301), Deflactor!$BP$300, IF(AND(AU287&gt;=Deflactor!$BQ$301,AU287&lt;Deflactor!$BQ$302), Deflactor!$BP$301, IF(AND(AU287&gt;=Deflactor!$BQ$302,AU287&lt;Deflactor!$BQ$303), Deflactor!$BP$302, IF(AND(AU287&gt;=Deflactor!$BQ$303,AU287&lt;Deflactor!$BQ$304), Deflactor!$BP$303, IF(AND(AU287&gt;=Deflactor!$BQ$304,AU287&lt;Deflactor!$BQ$305), Deflactor!$BP$304, IF(AND(AU287&gt;=Deflactor!$BQ$305,AU287&lt;Deflactor!$BQ$306), Deflactor!$BP$305, IF(AND(AU287&gt;=Deflactor!$BQ$306,AU287&lt;Deflactor!$BQ$307), Deflactor!$BP$306, Deflactor!$BP$307) ) ) ) ) ) ) ) ) )</f>
        <v>6</v>
      </c>
    </row>
    <row r="288" spans="1:48" x14ac:dyDescent="0.25">
      <c r="A288" s="3">
        <v>2009</v>
      </c>
      <c r="B288" s="3" t="s">
        <v>365</v>
      </c>
      <c r="C288" s="3" t="s">
        <v>7</v>
      </c>
      <c r="D288" s="3" t="s">
        <v>164</v>
      </c>
      <c r="E288" s="3" t="s">
        <v>165</v>
      </c>
      <c r="F288" s="3" t="s">
        <v>329</v>
      </c>
      <c r="G288" s="3"/>
      <c r="H288" s="12"/>
      <c r="I288" s="13"/>
      <c r="J288" s="10"/>
      <c r="K288" s="3"/>
      <c r="L288" s="3"/>
      <c r="M288" s="3"/>
      <c r="N288" s="3"/>
      <c r="O288" s="3"/>
      <c r="P288" s="3"/>
      <c r="Q288" s="3"/>
      <c r="R288" s="3"/>
      <c r="S288" s="3"/>
      <c r="T288" s="3"/>
      <c r="U288" s="3"/>
      <c r="V288" s="3"/>
      <c r="W288" s="10" t="str">
        <f>IF( J288="s.i", "s.i", IF(ISBLANK(J288),"Actualizando información",IFERROR(J288 / VLOOKUP(A288,Deflactor!$G$3:$H$64,2,0),"Revisar error" )))</f>
        <v>Actualizando información</v>
      </c>
      <c r="AR288" s="34" t="s">
        <v>2357</v>
      </c>
      <c r="AT288" s="46" t="str">
        <f>'Notas reunion'!T64</f>
        <v>s.i</v>
      </c>
      <c r="AU288" s="54" t="str">
        <f xml:space="preserve"> IFERROR(ROUND(AT288 / VLOOKUP(A288,Tabla1[#All],2,0),0),"s.i")</f>
        <v>s.i</v>
      </c>
      <c r="AV288" s="33" t="str">
        <f xml:space="preserve"> IF(AU288="s.i", "s.i", IF(AND(AU288&gt;=Deflactor!$BQ$298,AU288&lt;Deflactor!$BQ$299), Deflactor!$BP$298, IF(AND(AU288&gt;=Deflactor!$BQ$299,AU288&lt;Deflactor!$BQ$300), Deflactor!$BP$299, IF(AND(AU288&gt;=Deflactor!$BQ$300,AU288&lt;Deflactor!$BQ$301), Deflactor!$BP$300, IF(AND(AU288&gt;=Deflactor!$BQ$301,AU288&lt;Deflactor!$BQ$302), Deflactor!$BP$301, IF(AND(AU288&gt;=Deflactor!$BQ$302,AU288&lt;Deflactor!$BQ$303), Deflactor!$BP$302, IF(AND(AU288&gt;=Deflactor!$BQ$303,AU288&lt;Deflactor!$BQ$304), Deflactor!$BP$303, IF(AND(AU288&gt;=Deflactor!$BQ$304,AU288&lt;Deflactor!$BQ$305), Deflactor!$BP$304, IF(AND(AU288&gt;=Deflactor!$BQ$305,AU288&lt;Deflactor!$BQ$306), Deflactor!$BP$305, IF(AND(AU288&gt;=Deflactor!$BQ$306,AU288&lt;Deflactor!$BQ$307), Deflactor!$BP$306, Deflactor!$BP$307) ) ) ) ) ) ) ) ) )</f>
        <v>s.i</v>
      </c>
    </row>
    <row r="289" spans="1:48" x14ac:dyDescent="0.25">
      <c r="A289" s="3">
        <v>2009</v>
      </c>
      <c r="B289" s="3" t="s">
        <v>366</v>
      </c>
      <c r="C289" s="3" t="s">
        <v>155</v>
      </c>
      <c r="D289" s="3" t="s">
        <v>159</v>
      </c>
      <c r="E289" s="3" t="s">
        <v>160</v>
      </c>
      <c r="F289" s="3" t="s">
        <v>157</v>
      </c>
      <c r="G289" s="3"/>
      <c r="H289" s="12"/>
      <c r="I289" s="13"/>
      <c r="J289" s="10"/>
      <c r="K289" s="3"/>
      <c r="L289" s="3"/>
      <c r="M289" s="3"/>
      <c r="N289" s="3"/>
      <c r="O289" s="3"/>
      <c r="P289" s="3"/>
      <c r="Q289" s="3"/>
      <c r="R289" s="3"/>
      <c r="S289" s="3"/>
      <c r="T289" s="3"/>
      <c r="U289" s="3"/>
      <c r="V289" s="3"/>
      <c r="W289" s="10" t="str">
        <f>IF( J289="s.i", "s.i", IF(ISBLANK(J289),"Actualizando información",IFERROR(J289 / VLOOKUP(A289,Deflactor!$G$3:$H$64,2,0),"Revisar error" )))</f>
        <v>Actualizando información</v>
      </c>
      <c r="AR289" s="34">
        <f xml:space="preserve"> 3343822 * 1000</f>
        <v>3343822000</v>
      </c>
      <c r="AT289" s="46">
        <f t="shared" si="12"/>
        <v>3343822000</v>
      </c>
      <c r="AU289" s="54">
        <f xml:space="preserve"> IFERROR(ROUND(AT289 / VLOOKUP(A289,Tabla1[#All],2,0),0),"s.i")</f>
        <v>5974660</v>
      </c>
      <c r="AV289" s="33">
        <f xml:space="preserve"> IF(AU289="s.i", "s.i", IF(AND(AU289&gt;=Deflactor!$BQ$298,AU289&lt;Deflactor!$BQ$299), Deflactor!$BP$298, IF(AND(AU289&gt;=Deflactor!$BQ$299,AU289&lt;Deflactor!$BQ$300), Deflactor!$BP$299, IF(AND(AU289&gt;=Deflactor!$BQ$300,AU289&lt;Deflactor!$BQ$301), Deflactor!$BP$300, IF(AND(AU289&gt;=Deflactor!$BQ$301,AU289&lt;Deflactor!$BQ$302), Deflactor!$BP$301, IF(AND(AU289&gt;=Deflactor!$BQ$302,AU289&lt;Deflactor!$BQ$303), Deflactor!$BP$302, IF(AND(AU289&gt;=Deflactor!$BQ$303,AU289&lt;Deflactor!$BQ$304), Deflactor!$BP$303, IF(AND(AU289&gt;=Deflactor!$BQ$304,AU289&lt;Deflactor!$BQ$305), Deflactor!$BP$304, IF(AND(AU289&gt;=Deflactor!$BQ$305,AU289&lt;Deflactor!$BQ$306), Deflactor!$BP$305, IF(AND(AU289&gt;=Deflactor!$BQ$306,AU289&lt;Deflactor!$BQ$307), Deflactor!$BP$306, Deflactor!$BP$307) ) ) ) ) ) ) ) ) )</f>
        <v>3</v>
      </c>
    </row>
    <row r="290" spans="1:48" x14ac:dyDescent="0.25">
      <c r="A290" s="3">
        <v>2009</v>
      </c>
      <c r="B290" s="3" t="s">
        <v>367</v>
      </c>
      <c r="C290" s="3" t="s">
        <v>155</v>
      </c>
      <c r="D290" s="3" t="s">
        <v>159</v>
      </c>
      <c r="E290" s="3" t="s">
        <v>368</v>
      </c>
      <c r="F290" s="3" t="s">
        <v>157</v>
      </c>
      <c r="G290" s="3"/>
      <c r="H290" s="12"/>
      <c r="I290" s="13"/>
      <c r="J290" s="10"/>
      <c r="K290" s="3"/>
      <c r="L290" s="3"/>
      <c r="M290" s="3"/>
      <c r="N290" s="3"/>
      <c r="O290" s="3"/>
      <c r="P290" s="3"/>
      <c r="Q290" s="3"/>
      <c r="R290" s="3"/>
      <c r="S290" s="3"/>
      <c r="T290" s="3"/>
      <c r="U290" s="3"/>
      <c r="V290" s="3"/>
      <c r="W290" s="10" t="str">
        <f>IF( J290="s.i", "s.i", IF(ISBLANK(J290),"Actualizando información",IFERROR(J290 / VLOOKUP(A290,Deflactor!$G$3:$H$64,2,0),"Revisar error" )))</f>
        <v>Actualizando información</v>
      </c>
      <c r="AR290" s="10">
        <f xml:space="preserve"> 3070179 * 1000</f>
        <v>3070179000</v>
      </c>
      <c r="AT290" s="46">
        <f t="shared" si="12"/>
        <v>3070179000</v>
      </c>
      <c r="AU290" s="54">
        <f xml:space="preserve"> IFERROR(ROUND(AT290 / VLOOKUP(A290,Tabla1[#All],2,0),0),"s.i")</f>
        <v>5485721</v>
      </c>
      <c r="AV290" s="33">
        <f xml:space="preserve"> IF(AU290="s.i", "s.i", IF(AND(AU290&gt;=Deflactor!$BQ$298,AU290&lt;Deflactor!$BQ$299), Deflactor!$BP$298, IF(AND(AU290&gt;=Deflactor!$BQ$299,AU290&lt;Deflactor!$BQ$300), Deflactor!$BP$299, IF(AND(AU290&gt;=Deflactor!$BQ$300,AU290&lt;Deflactor!$BQ$301), Deflactor!$BP$300, IF(AND(AU290&gt;=Deflactor!$BQ$301,AU290&lt;Deflactor!$BQ$302), Deflactor!$BP$301, IF(AND(AU290&gt;=Deflactor!$BQ$302,AU290&lt;Deflactor!$BQ$303), Deflactor!$BP$302, IF(AND(AU290&gt;=Deflactor!$BQ$303,AU290&lt;Deflactor!$BQ$304), Deflactor!$BP$303, IF(AND(AU290&gt;=Deflactor!$BQ$304,AU290&lt;Deflactor!$BQ$305), Deflactor!$BP$304, IF(AND(AU290&gt;=Deflactor!$BQ$305,AU290&lt;Deflactor!$BQ$306), Deflactor!$BP$305, IF(AND(AU290&gt;=Deflactor!$BQ$306,AU290&lt;Deflactor!$BQ$307), Deflactor!$BP$306, Deflactor!$BP$307) ) ) ) ) ) ) ) ) )</f>
        <v>3</v>
      </c>
    </row>
    <row r="291" spans="1:48" x14ac:dyDescent="0.25">
      <c r="A291" s="3">
        <v>2009</v>
      </c>
      <c r="B291" s="3" t="s">
        <v>369</v>
      </c>
      <c r="C291" s="3" t="s">
        <v>155</v>
      </c>
      <c r="D291" s="3" t="s">
        <v>159</v>
      </c>
      <c r="E291" s="3" t="s">
        <v>370</v>
      </c>
      <c r="F291" s="3" t="s">
        <v>157</v>
      </c>
      <c r="G291" s="3"/>
      <c r="H291" s="12"/>
      <c r="I291" s="13"/>
      <c r="J291" s="10"/>
      <c r="K291" s="3"/>
      <c r="L291" s="3"/>
      <c r="M291" s="3"/>
      <c r="N291" s="3"/>
      <c r="O291" s="3"/>
      <c r="P291" s="3"/>
      <c r="Q291" s="3"/>
      <c r="R291" s="3"/>
      <c r="S291" s="3"/>
      <c r="T291" s="3"/>
      <c r="U291" s="3"/>
      <c r="V291" s="3"/>
      <c r="W291" s="10" t="str">
        <f>IF( J291="s.i", "s.i", IF(ISBLANK(J291),"Actualizando información",IFERROR(J291 / VLOOKUP(A291,Deflactor!$G$3:$H$64,2,0),"Revisar error" )))</f>
        <v>Actualizando información</v>
      </c>
      <c r="AR291" s="10">
        <f xml:space="preserve"> 9957711 * 1000</f>
        <v>9957711000</v>
      </c>
      <c r="AT291" s="46">
        <f t="shared" si="12"/>
        <v>9957711000</v>
      </c>
      <c r="AU291" s="54">
        <f xml:space="preserve"> IFERROR(ROUND(AT291 / VLOOKUP(A291,Tabla1[#All],2,0),0),"s.i")</f>
        <v>17792197</v>
      </c>
      <c r="AV291" s="33">
        <f xml:space="preserve"> IF(AU291="s.i", "s.i", IF(AND(AU291&gt;=Deflactor!$BQ$298,AU291&lt;Deflactor!$BQ$299), Deflactor!$BP$298, IF(AND(AU291&gt;=Deflactor!$BQ$299,AU291&lt;Deflactor!$BQ$300), Deflactor!$BP$299, IF(AND(AU291&gt;=Deflactor!$BQ$300,AU291&lt;Deflactor!$BQ$301), Deflactor!$BP$300, IF(AND(AU291&gt;=Deflactor!$BQ$301,AU291&lt;Deflactor!$BQ$302), Deflactor!$BP$301, IF(AND(AU291&gt;=Deflactor!$BQ$302,AU291&lt;Deflactor!$BQ$303), Deflactor!$BP$302, IF(AND(AU291&gt;=Deflactor!$BQ$303,AU291&lt;Deflactor!$BQ$304), Deflactor!$BP$303, IF(AND(AU291&gt;=Deflactor!$BQ$304,AU291&lt;Deflactor!$BQ$305), Deflactor!$BP$304, IF(AND(AU291&gt;=Deflactor!$BQ$305,AU291&lt;Deflactor!$BQ$306), Deflactor!$BP$305, IF(AND(AU291&gt;=Deflactor!$BQ$306,AU291&lt;Deflactor!$BQ$307), Deflactor!$BP$306, Deflactor!$BP$307) ) ) ) ) ) ) ) ) )</f>
        <v>6</v>
      </c>
    </row>
    <row r="292" spans="1:48" x14ac:dyDescent="0.25">
      <c r="A292" s="3">
        <v>2009</v>
      </c>
      <c r="B292" s="3" t="s">
        <v>371</v>
      </c>
      <c r="C292" s="3" t="s">
        <v>7</v>
      </c>
      <c r="D292" s="3" t="s">
        <v>290</v>
      </c>
      <c r="E292" s="3" t="s">
        <v>291</v>
      </c>
      <c r="F292" s="3" t="s">
        <v>329</v>
      </c>
      <c r="G292" s="3"/>
      <c r="H292" s="12"/>
      <c r="I292" s="13"/>
      <c r="J292" s="10"/>
      <c r="K292" s="3"/>
      <c r="L292" s="3"/>
      <c r="M292" s="3"/>
      <c r="N292" s="3"/>
      <c r="O292" s="3"/>
      <c r="P292" s="3"/>
      <c r="Q292" s="3"/>
      <c r="R292" s="3"/>
      <c r="S292" s="3"/>
      <c r="T292" s="3"/>
      <c r="U292" s="3"/>
      <c r="V292" s="3"/>
      <c r="W292" s="10" t="str">
        <f>IF( J292="s.i", "s.i", IF(ISBLANK(J292),"Actualizando información",IFERROR(J292 / VLOOKUP(A292,Deflactor!$G$3:$H$64,2,0),"Revisar error" )))</f>
        <v>Actualizando información</v>
      </c>
      <c r="AR292" s="10">
        <f xml:space="preserve"> 318600 * 1000</f>
        <v>318600000</v>
      </c>
      <c r="AT292" s="46">
        <f t="shared" si="12"/>
        <v>318600000</v>
      </c>
      <c r="AU292" s="54">
        <f xml:space="preserve"> IFERROR(ROUND(AT292 / VLOOKUP(A292,Tabla1[#All],2,0),0),"s.i")</f>
        <v>569267</v>
      </c>
      <c r="AV292" s="33">
        <f xml:space="preserve"> IF(AU292="s.i", "s.i", IF(AND(AU292&gt;=Deflactor!$BQ$298,AU292&lt;Deflactor!$BQ$299), Deflactor!$BP$298, IF(AND(AU292&gt;=Deflactor!$BQ$299,AU292&lt;Deflactor!$BQ$300), Deflactor!$BP$299, IF(AND(AU292&gt;=Deflactor!$BQ$300,AU292&lt;Deflactor!$BQ$301), Deflactor!$BP$300, IF(AND(AU292&gt;=Deflactor!$BQ$301,AU292&lt;Deflactor!$BQ$302), Deflactor!$BP$301, IF(AND(AU292&gt;=Deflactor!$BQ$302,AU292&lt;Deflactor!$BQ$303), Deflactor!$BP$302, IF(AND(AU292&gt;=Deflactor!$BQ$303,AU292&lt;Deflactor!$BQ$304), Deflactor!$BP$303, IF(AND(AU292&gt;=Deflactor!$BQ$304,AU292&lt;Deflactor!$BQ$305), Deflactor!$BP$304, IF(AND(AU292&gt;=Deflactor!$BQ$305,AU292&lt;Deflactor!$BQ$306), Deflactor!$BP$305, IF(AND(AU292&gt;=Deflactor!$BQ$306,AU292&lt;Deflactor!$BQ$307), Deflactor!$BP$306, Deflactor!$BP$307) ) ) ) ) ) ) ) ) )</f>
        <v>1</v>
      </c>
    </row>
    <row r="293" spans="1:48" x14ac:dyDescent="0.25">
      <c r="A293" s="3">
        <v>2009</v>
      </c>
      <c r="B293" s="3" t="s">
        <v>372</v>
      </c>
      <c r="C293" s="3" t="s">
        <v>92</v>
      </c>
      <c r="D293" s="3" t="s">
        <v>25</v>
      </c>
      <c r="E293" s="3" t="s">
        <v>26</v>
      </c>
      <c r="F293" s="3" t="s">
        <v>95</v>
      </c>
      <c r="G293" s="3"/>
      <c r="H293" s="12"/>
      <c r="I293" s="13"/>
      <c r="J293" s="10"/>
      <c r="K293" s="3"/>
      <c r="L293" s="3"/>
      <c r="M293" s="3"/>
      <c r="N293" s="3"/>
      <c r="O293" s="3"/>
      <c r="P293" s="3"/>
      <c r="Q293" s="3"/>
      <c r="R293" s="3"/>
      <c r="S293" s="3"/>
      <c r="T293" s="3"/>
      <c r="U293" s="3"/>
      <c r="V293" s="3"/>
      <c r="W293" s="10" t="str">
        <f>IF( J293="s.i", "s.i", IF(ISBLANK(J293),"Actualizando información",IFERROR(J293 / VLOOKUP(A293,Deflactor!$G$3:$H$64,2,0),"Revisar error" )))</f>
        <v>Actualizando información</v>
      </c>
      <c r="AR293" s="10">
        <f xml:space="preserve"> 33984 * 1000</f>
        <v>33984000</v>
      </c>
      <c r="AT293" s="46">
        <f t="shared" si="12"/>
        <v>33984000</v>
      </c>
      <c r="AU293" s="54">
        <f xml:space="preserve"> IFERROR(ROUND(AT293 / VLOOKUP(A293,Tabla1[#All],2,0),0),"s.i")</f>
        <v>60722</v>
      </c>
      <c r="AV293" s="33">
        <f xml:space="preserve"> IF(AU293="s.i", "s.i", IF(AND(AU293&gt;=Deflactor!$BQ$298,AU293&lt;Deflactor!$BQ$299), Deflactor!$BP$298, IF(AND(AU293&gt;=Deflactor!$BQ$299,AU293&lt;Deflactor!$BQ$300), Deflactor!$BP$299, IF(AND(AU293&gt;=Deflactor!$BQ$300,AU293&lt;Deflactor!$BQ$301), Deflactor!$BP$300, IF(AND(AU293&gt;=Deflactor!$BQ$301,AU293&lt;Deflactor!$BQ$302), Deflactor!$BP$301, IF(AND(AU293&gt;=Deflactor!$BQ$302,AU293&lt;Deflactor!$BQ$303), Deflactor!$BP$302, IF(AND(AU293&gt;=Deflactor!$BQ$303,AU293&lt;Deflactor!$BQ$304), Deflactor!$BP$303, IF(AND(AU293&gt;=Deflactor!$BQ$304,AU293&lt;Deflactor!$BQ$305), Deflactor!$BP$304, IF(AND(AU293&gt;=Deflactor!$BQ$305,AU293&lt;Deflactor!$BQ$306), Deflactor!$BP$305, IF(AND(AU293&gt;=Deflactor!$BQ$306,AU293&lt;Deflactor!$BQ$307), Deflactor!$BP$306, Deflactor!$BP$307) ) ) ) ) ) ) ) ) )</f>
        <v>1</v>
      </c>
    </row>
    <row r="294" spans="1:48" x14ac:dyDescent="0.25">
      <c r="A294" s="3">
        <v>2009</v>
      </c>
      <c r="B294" s="3" t="s">
        <v>373</v>
      </c>
      <c r="C294" s="3" t="s">
        <v>92</v>
      </c>
      <c r="D294" s="3" t="s">
        <v>25</v>
      </c>
      <c r="E294" s="3" t="s">
        <v>26</v>
      </c>
      <c r="F294" s="3" t="s">
        <v>95</v>
      </c>
      <c r="G294" s="3"/>
      <c r="H294" s="12"/>
      <c r="I294" s="13"/>
      <c r="J294" s="10"/>
      <c r="K294" s="3"/>
      <c r="L294" s="3"/>
      <c r="M294" s="3"/>
      <c r="N294" s="3"/>
      <c r="O294" s="3"/>
      <c r="P294" s="3"/>
      <c r="Q294" s="3"/>
      <c r="R294" s="3"/>
      <c r="S294" s="3"/>
      <c r="T294" s="3"/>
      <c r="U294" s="3"/>
      <c r="V294" s="3"/>
      <c r="W294" s="10" t="str">
        <f>IF( J294="s.i", "s.i", IF(ISBLANK(J294),"Actualizando información",IFERROR(J294 / VLOOKUP(A294,Deflactor!$G$3:$H$64,2,0),"Revisar error" )))</f>
        <v>Actualizando información</v>
      </c>
      <c r="AR294" s="10">
        <f t="shared" ref="AR294:AR295" si="14" xml:space="preserve"> 17991107 * 1000</f>
        <v>17991107000</v>
      </c>
      <c r="AT294" s="46">
        <f t="shared" si="12"/>
        <v>17991107000</v>
      </c>
      <c r="AU294" s="54">
        <f xml:space="preserve"> IFERROR(ROUND(AT294 / VLOOKUP(A294,Tabla1[#All],2,0),0),"s.i")</f>
        <v>32146074</v>
      </c>
      <c r="AV294" s="33">
        <f xml:space="preserve"> IF(AU294="s.i", "s.i", IF(AND(AU294&gt;=Deflactor!$BQ$298,AU294&lt;Deflactor!$BQ$299), Deflactor!$BP$298, IF(AND(AU294&gt;=Deflactor!$BQ$299,AU294&lt;Deflactor!$BQ$300), Deflactor!$BP$299, IF(AND(AU294&gt;=Deflactor!$BQ$300,AU294&lt;Deflactor!$BQ$301), Deflactor!$BP$300, IF(AND(AU294&gt;=Deflactor!$BQ$301,AU294&lt;Deflactor!$BQ$302), Deflactor!$BP$301, IF(AND(AU294&gt;=Deflactor!$BQ$302,AU294&lt;Deflactor!$BQ$303), Deflactor!$BP$302, IF(AND(AU294&gt;=Deflactor!$BQ$303,AU294&lt;Deflactor!$BQ$304), Deflactor!$BP$303, IF(AND(AU294&gt;=Deflactor!$BQ$304,AU294&lt;Deflactor!$BQ$305), Deflactor!$BP$304, IF(AND(AU294&gt;=Deflactor!$BQ$305,AU294&lt;Deflactor!$BQ$306), Deflactor!$BP$305, IF(AND(AU294&gt;=Deflactor!$BQ$306,AU294&lt;Deflactor!$BQ$307), Deflactor!$BP$306, Deflactor!$BP$307) ) ) ) ) ) ) ) ) )</f>
        <v>8</v>
      </c>
    </row>
    <row r="295" spans="1:48" x14ac:dyDescent="0.25">
      <c r="A295" s="3">
        <v>2009</v>
      </c>
      <c r="B295" s="3" t="s">
        <v>374</v>
      </c>
      <c r="C295" s="3" t="s">
        <v>92</v>
      </c>
      <c r="D295" s="3" t="s">
        <v>25</v>
      </c>
      <c r="E295" s="3" t="s">
        <v>26</v>
      </c>
      <c r="F295" s="3" t="s">
        <v>194</v>
      </c>
      <c r="G295" s="3"/>
      <c r="H295" s="12"/>
      <c r="I295" s="13"/>
      <c r="J295" s="10"/>
      <c r="K295" s="3" t="s">
        <v>2190</v>
      </c>
      <c r="L295" s="3"/>
      <c r="M295" s="3"/>
      <c r="N295" s="3"/>
      <c r="O295" s="3"/>
      <c r="P295" s="3"/>
      <c r="Q295" s="3"/>
      <c r="R295" s="3"/>
      <c r="S295" s="3"/>
      <c r="T295" s="3"/>
      <c r="U295" s="3"/>
      <c r="V295" s="3"/>
      <c r="W295" s="10" t="str">
        <f>IF( J295="s.i", "s.i", IF(ISBLANK(J295),"Actualizando información",IFERROR(J295 / VLOOKUP(A295,Deflactor!$G$3:$H$64,2,0),"Revisar error" )))</f>
        <v>Actualizando información</v>
      </c>
      <c r="AR295" s="10">
        <f t="shared" si="14"/>
        <v>17991107000</v>
      </c>
      <c r="AT295" s="46">
        <f t="shared" si="12"/>
        <v>17991107000</v>
      </c>
      <c r="AU295" s="54">
        <f xml:space="preserve"> IFERROR(ROUND(AT295 / VLOOKUP(A295,Tabla1[#All],2,0),0),"s.i")</f>
        <v>32146074</v>
      </c>
      <c r="AV295" s="33">
        <f xml:space="preserve"> IF(AU295="s.i", "s.i", IF(AND(AU295&gt;=Deflactor!$BQ$298,AU295&lt;Deflactor!$BQ$299), Deflactor!$BP$298, IF(AND(AU295&gt;=Deflactor!$BQ$299,AU295&lt;Deflactor!$BQ$300), Deflactor!$BP$299, IF(AND(AU295&gt;=Deflactor!$BQ$300,AU295&lt;Deflactor!$BQ$301), Deflactor!$BP$300, IF(AND(AU295&gt;=Deflactor!$BQ$301,AU295&lt;Deflactor!$BQ$302), Deflactor!$BP$301, IF(AND(AU295&gt;=Deflactor!$BQ$302,AU295&lt;Deflactor!$BQ$303), Deflactor!$BP$302, IF(AND(AU295&gt;=Deflactor!$BQ$303,AU295&lt;Deflactor!$BQ$304), Deflactor!$BP$303, IF(AND(AU295&gt;=Deflactor!$BQ$304,AU295&lt;Deflactor!$BQ$305), Deflactor!$BP$304, IF(AND(AU295&gt;=Deflactor!$BQ$305,AU295&lt;Deflactor!$BQ$306), Deflactor!$BP$305, IF(AND(AU295&gt;=Deflactor!$BQ$306,AU295&lt;Deflactor!$BQ$307), Deflactor!$BP$306, Deflactor!$BP$307) ) ) ) ) ) ) ) ) )</f>
        <v>8</v>
      </c>
    </row>
    <row r="296" spans="1:48" x14ac:dyDescent="0.25">
      <c r="A296" s="3">
        <v>2009</v>
      </c>
      <c r="B296" s="3" t="s">
        <v>375</v>
      </c>
      <c r="C296" s="3" t="s">
        <v>92</v>
      </c>
      <c r="D296" s="3" t="s">
        <v>25</v>
      </c>
      <c r="E296" s="3" t="s">
        <v>26</v>
      </c>
      <c r="F296" s="3" t="s">
        <v>89</v>
      </c>
      <c r="G296" s="3"/>
      <c r="H296" s="12"/>
      <c r="I296" s="13"/>
      <c r="J296" s="10"/>
      <c r="K296" s="3"/>
      <c r="L296" s="3"/>
      <c r="M296" s="3"/>
      <c r="N296" s="3"/>
      <c r="O296" s="3"/>
      <c r="P296" s="3"/>
      <c r="Q296" s="3"/>
      <c r="R296" s="3"/>
      <c r="S296" s="3"/>
      <c r="T296" s="3"/>
      <c r="U296" s="3"/>
      <c r="V296" s="3"/>
      <c r="W296" s="10" t="str">
        <f>IF( J296="s.i", "s.i", IF(ISBLANK(J296),"Actualizando información",IFERROR(J296 / VLOOKUP(A296,Deflactor!$G$3:$H$64,2,0),"Revisar error" )))</f>
        <v>Actualizando información</v>
      </c>
      <c r="AR296" s="10">
        <f xml:space="preserve"> 17991107 * 1000</f>
        <v>17991107000</v>
      </c>
      <c r="AT296" s="46">
        <f t="shared" si="12"/>
        <v>17991107000</v>
      </c>
      <c r="AU296" s="54">
        <f xml:space="preserve"> IFERROR(ROUND(AT296 / VLOOKUP(A296,Tabla1[#All],2,0),0),"s.i")</f>
        <v>32146074</v>
      </c>
      <c r="AV296" s="33">
        <f xml:space="preserve"> IF(AU296="s.i", "s.i", IF(AND(AU296&gt;=Deflactor!$BQ$298,AU296&lt;Deflactor!$BQ$299), Deflactor!$BP$298, IF(AND(AU296&gt;=Deflactor!$BQ$299,AU296&lt;Deflactor!$BQ$300), Deflactor!$BP$299, IF(AND(AU296&gt;=Deflactor!$BQ$300,AU296&lt;Deflactor!$BQ$301), Deflactor!$BP$300, IF(AND(AU296&gt;=Deflactor!$BQ$301,AU296&lt;Deflactor!$BQ$302), Deflactor!$BP$301, IF(AND(AU296&gt;=Deflactor!$BQ$302,AU296&lt;Deflactor!$BQ$303), Deflactor!$BP$302, IF(AND(AU296&gt;=Deflactor!$BQ$303,AU296&lt;Deflactor!$BQ$304), Deflactor!$BP$303, IF(AND(AU296&gt;=Deflactor!$BQ$304,AU296&lt;Deflactor!$BQ$305), Deflactor!$BP$304, IF(AND(AU296&gt;=Deflactor!$BQ$305,AU296&lt;Deflactor!$BQ$306), Deflactor!$BP$305, IF(AND(AU296&gt;=Deflactor!$BQ$306,AU296&lt;Deflactor!$BQ$307), Deflactor!$BP$306, Deflactor!$BP$307) ) ) ) ) ) ) ) ) )</f>
        <v>8</v>
      </c>
    </row>
    <row r="297" spans="1:48" x14ac:dyDescent="0.25">
      <c r="A297" s="3">
        <v>2009</v>
      </c>
      <c r="B297" s="3" t="s">
        <v>376</v>
      </c>
      <c r="C297" s="3" t="s">
        <v>283</v>
      </c>
      <c r="D297" s="3" t="s">
        <v>64</v>
      </c>
      <c r="E297" s="3" t="s">
        <v>262</v>
      </c>
      <c r="F297" s="3" t="s">
        <v>157</v>
      </c>
      <c r="G297" s="3"/>
      <c r="H297" s="12"/>
      <c r="I297" s="13"/>
      <c r="J297" s="10"/>
      <c r="K297" s="3"/>
      <c r="L297" s="3"/>
      <c r="M297" s="3"/>
      <c r="N297" s="3"/>
      <c r="O297" s="3"/>
      <c r="P297" s="3"/>
      <c r="Q297" s="3"/>
      <c r="R297" s="3"/>
      <c r="S297" s="3"/>
      <c r="T297" s="3"/>
      <c r="U297" s="3"/>
      <c r="V297" s="3"/>
      <c r="W297" s="10" t="str">
        <f>IF( J297="s.i", "s.i", IF(ISBLANK(J297),"Actualizando información",IFERROR(J297 / VLOOKUP(A297,Deflactor!$G$3:$H$64,2,0),"Revisar error" )))</f>
        <v>Actualizando información</v>
      </c>
      <c r="AR297" s="34" t="s">
        <v>2357</v>
      </c>
      <c r="AT297" s="46" t="str">
        <f>'Notas reunion'!T65</f>
        <v>s.i</v>
      </c>
      <c r="AU297" s="54" t="str">
        <f xml:space="preserve"> IFERROR(ROUND(AT297 / VLOOKUP(A297,Tabla1[#All],2,0),0),"s.i")</f>
        <v>s.i</v>
      </c>
      <c r="AV297" s="33" t="str">
        <f xml:space="preserve"> IF(AU297="s.i", "s.i", IF(AND(AU297&gt;=Deflactor!$BQ$298,AU297&lt;Deflactor!$BQ$299), Deflactor!$BP$298, IF(AND(AU297&gt;=Deflactor!$BQ$299,AU297&lt;Deflactor!$BQ$300), Deflactor!$BP$299, IF(AND(AU297&gt;=Deflactor!$BQ$300,AU297&lt;Deflactor!$BQ$301), Deflactor!$BP$300, IF(AND(AU297&gt;=Deflactor!$BQ$301,AU297&lt;Deflactor!$BQ$302), Deflactor!$BP$301, IF(AND(AU297&gt;=Deflactor!$BQ$302,AU297&lt;Deflactor!$BQ$303), Deflactor!$BP$302, IF(AND(AU297&gt;=Deflactor!$BQ$303,AU297&lt;Deflactor!$BQ$304), Deflactor!$BP$303, IF(AND(AU297&gt;=Deflactor!$BQ$304,AU297&lt;Deflactor!$BQ$305), Deflactor!$BP$304, IF(AND(AU297&gt;=Deflactor!$BQ$305,AU297&lt;Deflactor!$BQ$306), Deflactor!$BP$305, IF(AND(AU297&gt;=Deflactor!$BQ$306,AU297&lt;Deflactor!$BQ$307), Deflactor!$BP$306, Deflactor!$BP$307) ) ) ) ) ) ) ) ) )</f>
        <v>s.i</v>
      </c>
    </row>
    <row r="298" spans="1:48" x14ac:dyDescent="0.25">
      <c r="A298" s="3">
        <v>2009</v>
      </c>
      <c r="B298" s="3" t="s">
        <v>377</v>
      </c>
      <c r="C298" s="3" t="s">
        <v>283</v>
      </c>
      <c r="D298" s="3" t="s">
        <v>64</v>
      </c>
      <c r="E298" s="3" t="s">
        <v>262</v>
      </c>
      <c r="F298" s="3" t="s">
        <v>157</v>
      </c>
      <c r="G298" s="3"/>
      <c r="H298" s="12"/>
      <c r="I298" s="13"/>
      <c r="J298" s="10"/>
      <c r="K298" s="3"/>
      <c r="L298" s="3"/>
      <c r="M298" s="3"/>
      <c r="N298" s="3"/>
      <c r="O298" s="3"/>
      <c r="P298" s="3"/>
      <c r="Q298" s="3"/>
      <c r="R298" s="3"/>
      <c r="S298" s="3"/>
      <c r="T298" s="3"/>
      <c r="U298" s="3"/>
      <c r="V298" s="3"/>
      <c r="W298" s="10" t="str">
        <f>IF( J298="s.i", "s.i", IF(ISBLANK(J298),"Actualizando información",IFERROR(J298 / VLOOKUP(A298,Deflactor!$G$3:$H$64,2,0),"Revisar error" )))</f>
        <v>Actualizando información</v>
      </c>
      <c r="AR298" s="34" t="s">
        <v>2357</v>
      </c>
      <c r="AT298" s="46" t="str">
        <f>'Notas reunion'!T66</f>
        <v>s.i</v>
      </c>
      <c r="AU298" s="54" t="str">
        <f xml:space="preserve"> IFERROR(ROUND(AT298 / VLOOKUP(A298,Tabla1[#All],2,0),0),"s.i")</f>
        <v>s.i</v>
      </c>
      <c r="AV298" s="33" t="str">
        <f xml:space="preserve"> IF(AU298="s.i", "s.i", IF(AND(AU298&gt;=Deflactor!$BQ$298,AU298&lt;Deflactor!$BQ$299), Deflactor!$BP$298, IF(AND(AU298&gt;=Deflactor!$BQ$299,AU298&lt;Deflactor!$BQ$300), Deflactor!$BP$299, IF(AND(AU298&gt;=Deflactor!$BQ$300,AU298&lt;Deflactor!$BQ$301), Deflactor!$BP$300, IF(AND(AU298&gt;=Deflactor!$BQ$301,AU298&lt;Deflactor!$BQ$302), Deflactor!$BP$301, IF(AND(AU298&gt;=Deflactor!$BQ$302,AU298&lt;Deflactor!$BQ$303), Deflactor!$BP$302, IF(AND(AU298&gt;=Deflactor!$BQ$303,AU298&lt;Deflactor!$BQ$304), Deflactor!$BP$303, IF(AND(AU298&gt;=Deflactor!$BQ$304,AU298&lt;Deflactor!$BQ$305), Deflactor!$BP$304, IF(AND(AU298&gt;=Deflactor!$BQ$305,AU298&lt;Deflactor!$BQ$306), Deflactor!$BP$305, IF(AND(AU298&gt;=Deflactor!$BQ$306,AU298&lt;Deflactor!$BQ$307), Deflactor!$BP$306, Deflactor!$BP$307) ) ) ) ) ) ) ) ) )</f>
        <v>s.i</v>
      </c>
    </row>
    <row r="299" spans="1:48" x14ac:dyDescent="0.25">
      <c r="A299" s="3">
        <v>2009</v>
      </c>
      <c r="B299" s="3" t="s">
        <v>378</v>
      </c>
      <c r="C299" s="3" t="s">
        <v>283</v>
      </c>
      <c r="D299" s="3" t="s">
        <v>64</v>
      </c>
      <c r="E299" s="3" t="s">
        <v>65</v>
      </c>
      <c r="F299" s="3" t="s">
        <v>30</v>
      </c>
      <c r="G299" s="3"/>
      <c r="H299" s="12"/>
      <c r="I299" s="13"/>
      <c r="J299" s="10"/>
      <c r="K299" s="3"/>
      <c r="L299" s="3"/>
      <c r="M299" s="3"/>
      <c r="N299" s="3"/>
      <c r="O299" s="3"/>
      <c r="P299" s="3"/>
      <c r="Q299" s="3"/>
      <c r="R299" s="3"/>
      <c r="S299" s="3"/>
      <c r="T299" s="3"/>
      <c r="U299" s="3" t="s">
        <v>378</v>
      </c>
      <c r="V299" s="3"/>
      <c r="W299" s="10" t="str">
        <f>IF( J299="s.i", "s.i", IF(ISBLANK(J299),"Actualizando información",IFERROR(J299 / VLOOKUP(A299,Deflactor!$G$3:$H$64,2,0),"Revisar error" )))</f>
        <v>Actualizando información</v>
      </c>
      <c r="AR299" s="10">
        <f xml:space="preserve"> 15930000 * 1000</f>
        <v>15930000000</v>
      </c>
      <c r="AT299" s="46">
        <f t="shared" si="12"/>
        <v>15930000000</v>
      </c>
      <c r="AU299" s="54">
        <f xml:space="preserve"> IFERROR(ROUND(AT299 / VLOOKUP(A299,Tabla1[#All],2,0),0),"s.i")</f>
        <v>28463338</v>
      </c>
      <c r="AV299" s="33">
        <f xml:space="preserve"> IF(AU299="s.i", "s.i", IF(AND(AU299&gt;=Deflactor!$BQ$298,AU299&lt;Deflactor!$BQ$299), Deflactor!$BP$298, IF(AND(AU299&gt;=Deflactor!$BQ$299,AU299&lt;Deflactor!$BQ$300), Deflactor!$BP$299, IF(AND(AU299&gt;=Deflactor!$BQ$300,AU299&lt;Deflactor!$BQ$301), Deflactor!$BP$300, IF(AND(AU299&gt;=Deflactor!$BQ$301,AU299&lt;Deflactor!$BQ$302), Deflactor!$BP$301, IF(AND(AU299&gt;=Deflactor!$BQ$302,AU299&lt;Deflactor!$BQ$303), Deflactor!$BP$302, IF(AND(AU299&gt;=Deflactor!$BQ$303,AU299&lt;Deflactor!$BQ$304), Deflactor!$BP$303, IF(AND(AU299&gt;=Deflactor!$BQ$304,AU299&lt;Deflactor!$BQ$305), Deflactor!$BP$304, IF(AND(AU299&gt;=Deflactor!$BQ$305,AU299&lt;Deflactor!$BQ$306), Deflactor!$BP$305, IF(AND(AU299&gt;=Deflactor!$BQ$306,AU299&lt;Deflactor!$BQ$307), Deflactor!$BP$306, Deflactor!$BP$307) ) ) ) ) ) ) ) ) )</f>
        <v>7</v>
      </c>
    </row>
    <row r="300" spans="1:48" x14ac:dyDescent="0.25">
      <c r="A300" s="3">
        <v>2009</v>
      </c>
      <c r="B300" s="3" t="s">
        <v>379</v>
      </c>
      <c r="C300" s="3" t="s">
        <v>7</v>
      </c>
      <c r="D300" s="3" t="s">
        <v>32</v>
      </c>
      <c r="E300" s="3" t="s">
        <v>33</v>
      </c>
      <c r="F300" s="3" t="s">
        <v>351</v>
      </c>
      <c r="G300" s="3"/>
      <c r="H300" s="12"/>
      <c r="I300" s="13"/>
      <c r="J300" s="10"/>
      <c r="K300" s="3" t="s">
        <v>1653</v>
      </c>
      <c r="L300" s="3"/>
      <c r="M300" s="3"/>
      <c r="N300" s="3"/>
      <c r="O300" s="3"/>
      <c r="P300" s="3"/>
      <c r="Q300" s="3"/>
      <c r="R300" s="3"/>
      <c r="S300" s="3"/>
      <c r="T300" s="3"/>
      <c r="U300" s="3" t="s">
        <v>1311</v>
      </c>
      <c r="V300" s="3"/>
      <c r="W300" s="10" t="str">
        <f>IF( J300="s.i", "s.i", IF(ISBLANK(J300),"Actualizando información",IFERROR(J300 / VLOOKUP(A300,Deflactor!$G$3:$H$64,2,0),"Revisar error" )))</f>
        <v>Actualizando información</v>
      </c>
      <c r="AR300" s="34">
        <f xml:space="preserve"> 1065468 * 1000</f>
        <v>1065468000</v>
      </c>
      <c r="AT300" s="46">
        <f t="shared" si="12"/>
        <v>1065468000</v>
      </c>
      <c r="AU300" s="54">
        <f xml:space="preserve"> IFERROR(ROUND(AT300 / VLOOKUP(A300,Tabla1[#All],2,0),0),"s.i")</f>
        <v>1903752</v>
      </c>
      <c r="AV300" s="33">
        <f xml:space="preserve"> IF(AU300="s.i", "s.i", IF(AND(AU300&gt;=Deflactor!$BQ$298,AU300&lt;Deflactor!$BQ$299), Deflactor!$BP$298, IF(AND(AU300&gt;=Deflactor!$BQ$299,AU300&lt;Deflactor!$BQ$300), Deflactor!$BP$299, IF(AND(AU300&gt;=Deflactor!$BQ$300,AU300&lt;Deflactor!$BQ$301), Deflactor!$BP$300, IF(AND(AU300&gt;=Deflactor!$BQ$301,AU300&lt;Deflactor!$BQ$302), Deflactor!$BP$301, IF(AND(AU300&gt;=Deflactor!$BQ$302,AU300&lt;Deflactor!$BQ$303), Deflactor!$BP$302, IF(AND(AU300&gt;=Deflactor!$BQ$303,AU300&lt;Deflactor!$BQ$304), Deflactor!$BP$303, IF(AND(AU300&gt;=Deflactor!$BQ$304,AU300&lt;Deflactor!$BQ$305), Deflactor!$BP$304, IF(AND(AU300&gt;=Deflactor!$BQ$305,AU300&lt;Deflactor!$BQ$306), Deflactor!$BP$305, IF(AND(AU300&gt;=Deflactor!$BQ$306,AU300&lt;Deflactor!$BQ$307), Deflactor!$BP$306, Deflactor!$BP$307) ) ) ) ) ) ) ) ) )</f>
        <v>1</v>
      </c>
    </row>
    <row r="301" spans="1:48" x14ac:dyDescent="0.25">
      <c r="A301" s="3">
        <v>2009</v>
      </c>
      <c r="B301" s="3" t="s">
        <v>380</v>
      </c>
      <c r="C301" s="3" t="s">
        <v>7</v>
      </c>
      <c r="D301" s="3" t="s">
        <v>48</v>
      </c>
      <c r="E301" s="3" t="s">
        <v>88</v>
      </c>
      <c r="F301" s="3" t="s">
        <v>329</v>
      </c>
      <c r="G301" s="3"/>
      <c r="H301" s="12"/>
      <c r="I301" s="13"/>
      <c r="J301" s="10"/>
      <c r="K301" s="3"/>
      <c r="L301" s="3"/>
      <c r="M301" s="3"/>
      <c r="N301" s="3"/>
      <c r="O301" s="3"/>
      <c r="P301" s="3"/>
      <c r="Q301" s="3"/>
      <c r="R301" s="3"/>
      <c r="S301" s="3"/>
      <c r="T301" s="3"/>
      <c r="U301" s="3"/>
      <c r="V301" s="3"/>
      <c r="W301" s="10" t="str">
        <f>IF( J301="s.i", "s.i", IF(ISBLANK(J301),"Actualizando información",IFERROR(J301 / VLOOKUP(A301,Deflactor!$G$3:$H$64,2,0),"Revisar error" )))</f>
        <v>Actualizando información</v>
      </c>
      <c r="AR301" s="10">
        <f xml:space="preserve"> 1188054 * 1000</f>
        <v>1188054000</v>
      </c>
      <c r="AT301" s="46">
        <f t="shared" si="12"/>
        <v>1188054000</v>
      </c>
      <c r="AU301" s="54">
        <f xml:space="preserve"> IFERROR(ROUND(AT301 / VLOOKUP(A301,Tabla1[#All],2,0),0),"s.i")</f>
        <v>2122786</v>
      </c>
      <c r="AV301" s="33">
        <f xml:space="preserve"> IF(AU301="s.i", "s.i", IF(AND(AU301&gt;=Deflactor!$BQ$298,AU301&lt;Deflactor!$BQ$299), Deflactor!$BP$298, IF(AND(AU301&gt;=Deflactor!$BQ$299,AU301&lt;Deflactor!$BQ$300), Deflactor!$BP$299, IF(AND(AU301&gt;=Deflactor!$BQ$300,AU301&lt;Deflactor!$BQ$301), Deflactor!$BP$300, IF(AND(AU301&gt;=Deflactor!$BQ$301,AU301&lt;Deflactor!$BQ$302), Deflactor!$BP$301, IF(AND(AU301&gt;=Deflactor!$BQ$302,AU301&lt;Deflactor!$BQ$303), Deflactor!$BP$302, IF(AND(AU301&gt;=Deflactor!$BQ$303,AU301&lt;Deflactor!$BQ$304), Deflactor!$BP$303, IF(AND(AU301&gt;=Deflactor!$BQ$304,AU301&lt;Deflactor!$BQ$305), Deflactor!$BP$304, IF(AND(AU301&gt;=Deflactor!$BQ$305,AU301&lt;Deflactor!$BQ$306), Deflactor!$BP$305, IF(AND(AU301&gt;=Deflactor!$BQ$306,AU301&lt;Deflactor!$BQ$307), Deflactor!$BP$306, Deflactor!$BP$307) ) ) ) ) ) ) ) ) )</f>
        <v>2</v>
      </c>
    </row>
    <row r="302" spans="1:48" x14ac:dyDescent="0.25">
      <c r="A302" s="3">
        <v>2009</v>
      </c>
      <c r="B302" s="3" t="s">
        <v>381</v>
      </c>
      <c r="C302" s="3" t="s">
        <v>283</v>
      </c>
      <c r="D302" s="3" t="s">
        <v>290</v>
      </c>
      <c r="E302" s="3" t="s">
        <v>291</v>
      </c>
      <c r="F302" s="3" t="s">
        <v>95</v>
      </c>
      <c r="G302" s="3" t="s">
        <v>723</v>
      </c>
      <c r="H302" s="12">
        <v>2009</v>
      </c>
      <c r="I302" s="13"/>
      <c r="J302" s="10">
        <f xml:space="preserve"> 25388 * 1000000</f>
        <v>25388000000</v>
      </c>
      <c r="K302" s="3" t="s">
        <v>1651</v>
      </c>
      <c r="L302" s="3" t="s">
        <v>912</v>
      </c>
      <c r="M302" s="3" t="s">
        <v>913</v>
      </c>
      <c r="N302" s="3" t="s">
        <v>914</v>
      </c>
      <c r="O302" s="3" t="s">
        <v>915</v>
      </c>
      <c r="P302" s="3" t="s">
        <v>916</v>
      </c>
      <c r="Q302" s="3"/>
      <c r="R302" s="11" t="s">
        <v>917</v>
      </c>
      <c r="S302" s="11" t="s">
        <v>918</v>
      </c>
      <c r="T302" s="3"/>
      <c r="U302" s="3" t="s">
        <v>1143</v>
      </c>
      <c r="V302" s="3"/>
      <c r="W302" s="10">
        <f>IF( J302="s.i", "s.i", IF(ISBLANK(J302),"Actualizando información",IFERROR(J302 / VLOOKUP(A302,Deflactor!$G$3:$H$64,2,0),"Revisar error" )))</f>
        <v>29417053898.539055</v>
      </c>
      <c r="AR302" s="34">
        <f xml:space="preserve"> 25388224 * 1000</f>
        <v>25388224000</v>
      </c>
      <c r="AT302" s="46">
        <f t="shared" si="12"/>
        <v>25388224000</v>
      </c>
      <c r="AU302" s="54">
        <f xml:space="preserve"> IFERROR(ROUND(AT302 / VLOOKUP(A302,Tabla1[#All],2,0),0),"s.i")</f>
        <v>45363063</v>
      </c>
      <c r="AV302" s="33">
        <f xml:space="preserve"> IF(AU302="s.i", "s.i", IF(AND(AU302&gt;=Deflactor!$BQ$298,AU302&lt;Deflactor!$BQ$299), Deflactor!$BP$298, IF(AND(AU302&gt;=Deflactor!$BQ$299,AU302&lt;Deflactor!$BQ$300), Deflactor!$BP$299, IF(AND(AU302&gt;=Deflactor!$BQ$300,AU302&lt;Deflactor!$BQ$301), Deflactor!$BP$300, IF(AND(AU302&gt;=Deflactor!$BQ$301,AU302&lt;Deflactor!$BQ$302), Deflactor!$BP$301, IF(AND(AU302&gt;=Deflactor!$BQ$302,AU302&lt;Deflactor!$BQ$303), Deflactor!$BP$302, IF(AND(AU302&gt;=Deflactor!$BQ$303,AU302&lt;Deflactor!$BQ$304), Deflactor!$BP$303, IF(AND(AU302&gt;=Deflactor!$BQ$304,AU302&lt;Deflactor!$BQ$305), Deflactor!$BP$304, IF(AND(AU302&gt;=Deflactor!$BQ$305,AU302&lt;Deflactor!$BQ$306), Deflactor!$BP$305, IF(AND(AU302&gt;=Deflactor!$BQ$306,AU302&lt;Deflactor!$BQ$307), Deflactor!$BP$306, Deflactor!$BP$307) ) ) ) ) ) ) ) ) )</f>
        <v>8</v>
      </c>
    </row>
    <row r="303" spans="1:48" x14ac:dyDescent="0.25">
      <c r="A303" s="3">
        <v>2009</v>
      </c>
      <c r="B303" s="3" t="s">
        <v>382</v>
      </c>
      <c r="C303" s="3" t="s">
        <v>92</v>
      </c>
      <c r="D303" s="3" t="s">
        <v>290</v>
      </c>
      <c r="E303" s="3" t="s">
        <v>176</v>
      </c>
      <c r="F303" s="3" t="s">
        <v>95</v>
      </c>
      <c r="G303" s="3"/>
      <c r="H303" s="12"/>
      <c r="I303" s="13"/>
      <c r="J303" s="10"/>
      <c r="K303" s="3"/>
      <c r="L303" s="3"/>
      <c r="M303" s="3"/>
      <c r="N303" s="3"/>
      <c r="O303" s="3"/>
      <c r="P303" s="3"/>
      <c r="Q303" s="3"/>
      <c r="R303" s="3"/>
      <c r="S303" s="3"/>
      <c r="T303" s="3"/>
      <c r="U303" s="3"/>
      <c r="V303" s="3"/>
      <c r="W303" s="10" t="str">
        <f>IF( J303="s.i", "s.i", IF(ISBLANK(J303),"Actualizando información",IFERROR(J303 / VLOOKUP(A303,Deflactor!$G$3:$H$64,2,0),"Revisar error" )))</f>
        <v>Actualizando información</v>
      </c>
      <c r="AR303" s="10">
        <f xml:space="preserve"> 1535413 * 1000</f>
        <v>1535413000</v>
      </c>
      <c r="AT303" s="46">
        <f t="shared" si="12"/>
        <v>1535413000</v>
      </c>
      <c r="AU303" s="54">
        <f xml:space="preserve"> IFERROR(ROUND(AT303 / VLOOKUP(A303,Tabla1[#All],2,0),0),"s.i")</f>
        <v>2743439</v>
      </c>
      <c r="AV303" s="33">
        <f xml:space="preserve"> IF(AU303="s.i", "s.i", IF(AND(AU303&gt;=Deflactor!$BQ$298,AU303&lt;Deflactor!$BQ$299), Deflactor!$BP$298, IF(AND(AU303&gt;=Deflactor!$BQ$299,AU303&lt;Deflactor!$BQ$300), Deflactor!$BP$299, IF(AND(AU303&gt;=Deflactor!$BQ$300,AU303&lt;Deflactor!$BQ$301), Deflactor!$BP$300, IF(AND(AU303&gt;=Deflactor!$BQ$301,AU303&lt;Deflactor!$BQ$302), Deflactor!$BP$301, IF(AND(AU303&gt;=Deflactor!$BQ$302,AU303&lt;Deflactor!$BQ$303), Deflactor!$BP$302, IF(AND(AU303&gt;=Deflactor!$BQ$303,AU303&lt;Deflactor!$BQ$304), Deflactor!$BP$303, IF(AND(AU303&gt;=Deflactor!$BQ$304,AU303&lt;Deflactor!$BQ$305), Deflactor!$BP$304, IF(AND(AU303&gt;=Deflactor!$BQ$305,AU303&lt;Deflactor!$BQ$306), Deflactor!$BP$305, IF(AND(AU303&gt;=Deflactor!$BQ$306,AU303&lt;Deflactor!$BQ$307), Deflactor!$BP$306, Deflactor!$BP$307) ) ) ) ) ) ) ) ) )</f>
        <v>2</v>
      </c>
    </row>
    <row r="304" spans="1:48" x14ac:dyDescent="0.25">
      <c r="A304" s="3">
        <v>2009</v>
      </c>
      <c r="B304" s="3" t="s">
        <v>383</v>
      </c>
      <c r="C304" s="3" t="s">
        <v>7</v>
      </c>
      <c r="D304" s="3" t="s">
        <v>290</v>
      </c>
      <c r="E304" s="3" t="s">
        <v>21</v>
      </c>
      <c r="F304" s="3" t="s">
        <v>310</v>
      </c>
      <c r="G304" s="3" t="s">
        <v>903</v>
      </c>
      <c r="H304" s="12">
        <v>1994</v>
      </c>
      <c r="I304" s="13">
        <v>2011</v>
      </c>
      <c r="J304" s="10">
        <f xml:space="preserve"> 4010 * 1000000</f>
        <v>4010000000</v>
      </c>
      <c r="K304" s="3" t="s">
        <v>861</v>
      </c>
      <c r="L304" s="3" t="s">
        <v>919</v>
      </c>
      <c r="M304" s="3" t="s">
        <v>920</v>
      </c>
      <c r="N304" s="3" t="s">
        <v>921</v>
      </c>
      <c r="O304" s="3" t="s">
        <v>922</v>
      </c>
      <c r="P304" s="3" t="s">
        <v>865</v>
      </c>
      <c r="Q304" s="3"/>
      <c r="R304" s="11" t="s">
        <v>923</v>
      </c>
      <c r="S304" s="11" t="s">
        <v>924</v>
      </c>
      <c r="T304" s="11" t="s">
        <v>925</v>
      </c>
      <c r="U304" s="3" t="s">
        <v>1142</v>
      </c>
      <c r="V304" s="3"/>
      <c r="W304" s="10">
        <f>IF( J304="s.i", "s.i", IF(ISBLANK(J304),"Actualizando información",IFERROR(J304 / VLOOKUP(A304,Deflactor!$G$3:$H$64,2,0),"Revisar error" )))</f>
        <v>4646383572.2838192</v>
      </c>
      <c r="AR304" s="10">
        <f xml:space="preserve"> 2975575 * 1000</f>
        <v>2975575000</v>
      </c>
      <c r="AT304" s="46">
        <f t="shared" si="12"/>
        <v>2975575000</v>
      </c>
      <c r="AU304" s="54">
        <f xml:space="preserve"> IFERROR(ROUND(AT304 / VLOOKUP(A304,Tabla1[#All],2,0),0),"s.i")</f>
        <v>5316685</v>
      </c>
      <c r="AV304" s="33">
        <f xml:space="preserve"> IF(AU304="s.i", "s.i", IF(AND(AU304&gt;=Deflactor!$BQ$298,AU304&lt;Deflactor!$BQ$299), Deflactor!$BP$298, IF(AND(AU304&gt;=Deflactor!$BQ$299,AU304&lt;Deflactor!$BQ$300), Deflactor!$BP$299, IF(AND(AU304&gt;=Deflactor!$BQ$300,AU304&lt;Deflactor!$BQ$301), Deflactor!$BP$300, IF(AND(AU304&gt;=Deflactor!$BQ$301,AU304&lt;Deflactor!$BQ$302), Deflactor!$BP$301, IF(AND(AU304&gt;=Deflactor!$BQ$302,AU304&lt;Deflactor!$BQ$303), Deflactor!$BP$302, IF(AND(AU304&gt;=Deflactor!$BQ$303,AU304&lt;Deflactor!$BQ$304), Deflactor!$BP$303, IF(AND(AU304&gt;=Deflactor!$BQ$304,AU304&lt;Deflactor!$BQ$305), Deflactor!$BP$304, IF(AND(AU304&gt;=Deflactor!$BQ$305,AU304&lt;Deflactor!$BQ$306), Deflactor!$BP$305, IF(AND(AU304&gt;=Deflactor!$BQ$306,AU304&lt;Deflactor!$BQ$307), Deflactor!$BP$306, Deflactor!$BP$307) ) ) ) ) ) ) ) ) )</f>
        <v>3</v>
      </c>
    </row>
    <row r="305" spans="1:48" x14ac:dyDescent="0.25">
      <c r="A305" s="3">
        <v>2009</v>
      </c>
      <c r="B305" s="3" t="s">
        <v>384</v>
      </c>
      <c r="C305" s="3" t="s">
        <v>7</v>
      </c>
      <c r="D305" s="3" t="s">
        <v>290</v>
      </c>
      <c r="E305" s="3" t="s">
        <v>21</v>
      </c>
      <c r="F305" s="3" t="s">
        <v>310</v>
      </c>
      <c r="G305" s="3" t="s">
        <v>903</v>
      </c>
      <c r="H305" s="12">
        <v>1994</v>
      </c>
      <c r="I305" s="13">
        <v>2011</v>
      </c>
      <c r="J305" s="10">
        <f xml:space="preserve"> 4010 * 1000000</f>
        <v>4010000000</v>
      </c>
      <c r="K305" s="3" t="s">
        <v>861</v>
      </c>
      <c r="L305" s="3" t="s">
        <v>919</v>
      </c>
      <c r="M305" s="3" t="s">
        <v>920</v>
      </c>
      <c r="N305" s="3" t="s">
        <v>921</v>
      </c>
      <c r="O305" s="3" t="s">
        <v>922</v>
      </c>
      <c r="P305" s="3" t="s">
        <v>865</v>
      </c>
      <c r="Q305" s="3"/>
      <c r="R305" s="11" t="s">
        <v>926</v>
      </c>
      <c r="S305" s="11" t="s">
        <v>927</v>
      </c>
      <c r="T305" s="11" t="s">
        <v>928</v>
      </c>
      <c r="U305" s="3" t="s">
        <v>1142</v>
      </c>
      <c r="V305" s="3"/>
      <c r="W305" s="10">
        <f>IF( J305="s.i", "s.i", IF(ISBLANK(J305),"Actualizando información",IFERROR(J305 / VLOOKUP(A305,Deflactor!$G$3:$H$64,2,0),"Revisar error" )))</f>
        <v>4646383572.2838192</v>
      </c>
      <c r="AR305" s="10">
        <f xml:space="preserve"> 2975575 * 1000</f>
        <v>2975575000</v>
      </c>
      <c r="AT305" s="46">
        <f t="shared" si="12"/>
        <v>2975575000</v>
      </c>
      <c r="AU305" s="54">
        <f xml:space="preserve"> IFERROR(ROUND(AT305 / VLOOKUP(A305,Tabla1[#All],2,0),0),"s.i")</f>
        <v>5316685</v>
      </c>
      <c r="AV305" s="33">
        <f xml:space="preserve"> IF(AU305="s.i", "s.i", IF(AND(AU305&gt;=Deflactor!$BQ$298,AU305&lt;Deflactor!$BQ$299), Deflactor!$BP$298, IF(AND(AU305&gt;=Deflactor!$BQ$299,AU305&lt;Deflactor!$BQ$300), Deflactor!$BP$299, IF(AND(AU305&gt;=Deflactor!$BQ$300,AU305&lt;Deflactor!$BQ$301), Deflactor!$BP$300, IF(AND(AU305&gt;=Deflactor!$BQ$301,AU305&lt;Deflactor!$BQ$302), Deflactor!$BP$301, IF(AND(AU305&gt;=Deflactor!$BQ$302,AU305&lt;Deflactor!$BQ$303), Deflactor!$BP$302, IF(AND(AU305&gt;=Deflactor!$BQ$303,AU305&lt;Deflactor!$BQ$304), Deflactor!$BP$303, IF(AND(AU305&gt;=Deflactor!$BQ$304,AU305&lt;Deflactor!$BQ$305), Deflactor!$BP$304, IF(AND(AU305&gt;=Deflactor!$BQ$305,AU305&lt;Deflactor!$BQ$306), Deflactor!$BP$305, IF(AND(AU305&gt;=Deflactor!$BQ$306,AU305&lt;Deflactor!$BQ$307), Deflactor!$BP$306, Deflactor!$BP$307) ) ) ) ) ) ) ) ) )</f>
        <v>3</v>
      </c>
    </row>
    <row r="306" spans="1:48" x14ac:dyDescent="0.25">
      <c r="A306" s="3">
        <v>2009</v>
      </c>
      <c r="B306" s="3" t="s">
        <v>385</v>
      </c>
      <c r="C306" s="3" t="s">
        <v>7</v>
      </c>
      <c r="D306" s="3" t="s">
        <v>290</v>
      </c>
      <c r="E306" s="3" t="s">
        <v>291</v>
      </c>
      <c r="F306" s="3" t="s">
        <v>351</v>
      </c>
      <c r="G306" s="3"/>
      <c r="H306" s="12"/>
      <c r="I306" s="13"/>
      <c r="J306" s="10"/>
      <c r="K306" s="3"/>
      <c r="L306" s="3"/>
      <c r="M306" s="3"/>
      <c r="N306" s="3"/>
      <c r="O306" s="3"/>
      <c r="P306" s="3"/>
      <c r="Q306" s="3"/>
      <c r="R306" s="3"/>
      <c r="S306" s="3"/>
      <c r="T306" s="3"/>
      <c r="U306" s="3"/>
      <c r="V306" s="3"/>
      <c r="W306" s="10" t="str">
        <f>IF( J306="s.i", "s.i", IF(ISBLANK(J306),"Actualizando información",IFERROR(J306 / VLOOKUP(A306,Deflactor!$G$3:$H$64,2,0),"Revisar error" )))</f>
        <v>Actualizando información</v>
      </c>
      <c r="AR306" s="10">
        <f xml:space="preserve"> 318600 * 1000</f>
        <v>318600000</v>
      </c>
      <c r="AT306" s="46">
        <f t="shared" si="12"/>
        <v>318600000</v>
      </c>
      <c r="AU306" s="54">
        <f xml:space="preserve"> IFERROR(ROUND(AT306 / VLOOKUP(A306,Tabla1[#All],2,0),0),"s.i")</f>
        <v>569267</v>
      </c>
      <c r="AV306" s="33">
        <f xml:space="preserve"> IF(AU306="s.i", "s.i", IF(AND(AU306&gt;=Deflactor!$BQ$298,AU306&lt;Deflactor!$BQ$299), Deflactor!$BP$298, IF(AND(AU306&gt;=Deflactor!$BQ$299,AU306&lt;Deflactor!$BQ$300), Deflactor!$BP$299, IF(AND(AU306&gt;=Deflactor!$BQ$300,AU306&lt;Deflactor!$BQ$301), Deflactor!$BP$300, IF(AND(AU306&gt;=Deflactor!$BQ$301,AU306&lt;Deflactor!$BQ$302), Deflactor!$BP$301, IF(AND(AU306&gt;=Deflactor!$BQ$302,AU306&lt;Deflactor!$BQ$303), Deflactor!$BP$302, IF(AND(AU306&gt;=Deflactor!$BQ$303,AU306&lt;Deflactor!$BQ$304), Deflactor!$BP$303, IF(AND(AU306&gt;=Deflactor!$BQ$304,AU306&lt;Deflactor!$BQ$305), Deflactor!$BP$304, IF(AND(AU306&gt;=Deflactor!$BQ$305,AU306&lt;Deflactor!$BQ$306), Deflactor!$BP$305, IF(AND(AU306&gt;=Deflactor!$BQ$306,AU306&lt;Deflactor!$BQ$307), Deflactor!$BP$306, Deflactor!$BP$307) ) ) ) ) ) ) ) ) )</f>
        <v>1</v>
      </c>
    </row>
    <row r="307" spans="1:48" x14ac:dyDescent="0.25">
      <c r="A307" s="3">
        <v>2009</v>
      </c>
      <c r="B307" s="3" t="s">
        <v>386</v>
      </c>
      <c r="C307" s="3" t="s">
        <v>7</v>
      </c>
      <c r="D307" s="3" t="s">
        <v>290</v>
      </c>
      <c r="E307" s="3" t="s">
        <v>291</v>
      </c>
      <c r="F307" s="3" t="s">
        <v>351</v>
      </c>
      <c r="G307" s="3"/>
      <c r="H307" s="12"/>
      <c r="I307" s="13"/>
      <c r="J307" s="10"/>
      <c r="K307" s="3"/>
      <c r="L307" s="3"/>
      <c r="M307" s="3"/>
      <c r="N307" s="3"/>
      <c r="O307" s="3"/>
      <c r="P307" s="3"/>
      <c r="Q307" s="3"/>
      <c r="R307" s="3"/>
      <c r="S307" s="3"/>
      <c r="T307" s="3"/>
      <c r="U307" s="3"/>
      <c r="V307" s="3"/>
      <c r="W307" s="10" t="str">
        <f>IF( J307="s.i", "s.i", IF(ISBLANK(J307),"Actualizando información",IFERROR(J307 / VLOOKUP(A307,Deflactor!$G$3:$H$64,2,0),"Revisar error" )))</f>
        <v>Actualizando información</v>
      </c>
      <c r="AR307" s="10">
        <f t="shared" ref="AR307" si="15" xml:space="preserve"> 318600 * 1000</f>
        <v>318600000</v>
      </c>
      <c r="AT307" s="46">
        <f t="shared" si="12"/>
        <v>318600000</v>
      </c>
      <c r="AU307" s="54">
        <f xml:space="preserve"> IFERROR(ROUND(AT307 / VLOOKUP(A307,Tabla1[#All],2,0),0),"s.i")</f>
        <v>569267</v>
      </c>
      <c r="AV307" s="33">
        <f xml:space="preserve"> IF(AU307="s.i", "s.i", IF(AND(AU307&gt;=Deflactor!$BQ$298,AU307&lt;Deflactor!$BQ$299), Deflactor!$BP$298, IF(AND(AU307&gt;=Deflactor!$BQ$299,AU307&lt;Deflactor!$BQ$300), Deflactor!$BP$299, IF(AND(AU307&gt;=Deflactor!$BQ$300,AU307&lt;Deflactor!$BQ$301), Deflactor!$BP$300, IF(AND(AU307&gt;=Deflactor!$BQ$301,AU307&lt;Deflactor!$BQ$302), Deflactor!$BP$301, IF(AND(AU307&gt;=Deflactor!$BQ$302,AU307&lt;Deflactor!$BQ$303), Deflactor!$BP$302, IF(AND(AU307&gt;=Deflactor!$BQ$303,AU307&lt;Deflactor!$BQ$304), Deflactor!$BP$303, IF(AND(AU307&gt;=Deflactor!$BQ$304,AU307&lt;Deflactor!$BQ$305), Deflactor!$BP$304, IF(AND(AU307&gt;=Deflactor!$BQ$305,AU307&lt;Deflactor!$BQ$306), Deflactor!$BP$305, IF(AND(AU307&gt;=Deflactor!$BQ$306,AU307&lt;Deflactor!$BQ$307), Deflactor!$BP$306, Deflactor!$BP$307) ) ) ) ) ) ) ) ) )</f>
        <v>1</v>
      </c>
    </row>
    <row r="308" spans="1:48" x14ac:dyDescent="0.25">
      <c r="A308" s="3">
        <v>2009</v>
      </c>
      <c r="B308" s="3" t="s">
        <v>387</v>
      </c>
      <c r="C308" s="3" t="s">
        <v>7</v>
      </c>
      <c r="D308" s="3" t="s">
        <v>290</v>
      </c>
      <c r="E308" s="3" t="s">
        <v>291</v>
      </c>
      <c r="F308" s="3" t="s">
        <v>351</v>
      </c>
      <c r="G308" s="3"/>
      <c r="H308" s="12"/>
      <c r="I308" s="13"/>
      <c r="J308" s="10"/>
      <c r="K308" s="3"/>
      <c r="L308" s="3"/>
      <c r="M308" s="3"/>
      <c r="N308" s="3"/>
      <c r="O308" s="3"/>
      <c r="P308" s="3"/>
      <c r="Q308" s="3"/>
      <c r="R308" s="3"/>
      <c r="S308" s="3"/>
      <c r="T308" s="3"/>
      <c r="U308" s="3"/>
      <c r="V308" s="3"/>
      <c r="W308" s="10" t="str">
        <f>IF( J308="s.i", "s.i", IF(ISBLANK(J308),"Actualizando información",IFERROR(J308 / VLOOKUP(A308,Deflactor!$G$3:$H$64,2,0),"Revisar error" )))</f>
        <v>Actualizando información</v>
      </c>
      <c r="AR308" s="10">
        <f xml:space="preserve"> 318600 * 1000</f>
        <v>318600000</v>
      </c>
      <c r="AT308" s="46">
        <f t="shared" si="12"/>
        <v>318600000</v>
      </c>
      <c r="AU308" s="54">
        <f xml:space="preserve"> IFERROR(ROUND(AT308 / VLOOKUP(A308,Tabla1[#All],2,0),0),"s.i")</f>
        <v>569267</v>
      </c>
      <c r="AV308" s="33">
        <f xml:space="preserve"> IF(AU308="s.i", "s.i", IF(AND(AU308&gt;=Deflactor!$BQ$298,AU308&lt;Deflactor!$BQ$299), Deflactor!$BP$298, IF(AND(AU308&gt;=Deflactor!$BQ$299,AU308&lt;Deflactor!$BQ$300), Deflactor!$BP$299, IF(AND(AU308&gt;=Deflactor!$BQ$300,AU308&lt;Deflactor!$BQ$301), Deflactor!$BP$300, IF(AND(AU308&gt;=Deflactor!$BQ$301,AU308&lt;Deflactor!$BQ$302), Deflactor!$BP$301, IF(AND(AU308&gt;=Deflactor!$BQ$302,AU308&lt;Deflactor!$BQ$303), Deflactor!$BP$302, IF(AND(AU308&gt;=Deflactor!$BQ$303,AU308&lt;Deflactor!$BQ$304), Deflactor!$BP$303, IF(AND(AU308&gt;=Deflactor!$BQ$304,AU308&lt;Deflactor!$BQ$305), Deflactor!$BP$304, IF(AND(AU308&gt;=Deflactor!$BQ$305,AU308&lt;Deflactor!$BQ$306), Deflactor!$BP$305, IF(AND(AU308&gt;=Deflactor!$BQ$306,AU308&lt;Deflactor!$BQ$307), Deflactor!$BP$306, Deflactor!$BP$307) ) ) ) ) ) ) ) ) )</f>
        <v>1</v>
      </c>
    </row>
    <row r="309" spans="1:48" x14ac:dyDescent="0.25">
      <c r="A309" s="3">
        <v>2009</v>
      </c>
      <c r="B309" s="3" t="s">
        <v>388</v>
      </c>
      <c r="C309" s="3" t="s">
        <v>7</v>
      </c>
      <c r="D309" s="3" t="s">
        <v>12</v>
      </c>
      <c r="E309" s="3" t="s">
        <v>58</v>
      </c>
      <c r="F309" s="3" t="s">
        <v>351</v>
      </c>
      <c r="G309" s="3"/>
      <c r="H309" s="12"/>
      <c r="I309" s="13"/>
      <c r="J309" s="10"/>
      <c r="K309" s="3"/>
      <c r="L309" s="3"/>
      <c r="M309" s="3"/>
      <c r="N309" s="3"/>
      <c r="O309" s="3"/>
      <c r="P309" s="3"/>
      <c r="Q309" s="3"/>
      <c r="R309" s="3"/>
      <c r="S309" s="3"/>
      <c r="T309" s="3"/>
      <c r="U309" s="3"/>
      <c r="V309" s="3"/>
      <c r="W309" s="10" t="str">
        <f>IF( J309="s.i", "s.i", IF(ISBLANK(J309),"Actualizando información",IFERROR(J309 / VLOOKUP(A309,Deflactor!$G$3:$H$64,2,0),"Revisar error" )))</f>
        <v>Actualizando información</v>
      </c>
      <c r="AR309" s="10">
        <f xml:space="preserve"> 4120372 * 1000</f>
        <v>4120372000</v>
      </c>
      <c r="AT309" s="46">
        <f t="shared" si="12"/>
        <v>4120372000</v>
      </c>
      <c r="AU309" s="54">
        <f xml:space="preserve"> IFERROR(ROUND(AT309 / VLOOKUP(A309,Tabla1[#All],2,0),0),"s.i")</f>
        <v>7362181</v>
      </c>
      <c r="AV309" s="33">
        <f xml:space="preserve"> IF(AU309="s.i", "s.i", IF(AND(AU309&gt;=Deflactor!$BQ$298,AU309&lt;Deflactor!$BQ$299), Deflactor!$BP$298, IF(AND(AU309&gt;=Deflactor!$BQ$299,AU309&lt;Deflactor!$BQ$300), Deflactor!$BP$299, IF(AND(AU309&gt;=Deflactor!$BQ$300,AU309&lt;Deflactor!$BQ$301), Deflactor!$BP$300, IF(AND(AU309&gt;=Deflactor!$BQ$301,AU309&lt;Deflactor!$BQ$302), Deflactor!$BP$301, IF(AND(AU309&gt;=Deflactor!$BQ$302,AU309&lt;Deflactor!$BQ$303), Deflactor!$BP$302, IF(AND(AU309&gt;=Deflactor!$BQ$303,AU309&lt;Deflactor!$BQ$304), Deflactor!$BP$303, IF(AND(AU309&gt;=Deflactor!$BQ$304,AU309&lt;Deflactor!$BQ$305), Deflactor!$BP$304, IF(AND(AU309&gt;=Deflactor!$BQ$305,AU309&lt;Deflactor!$BQ$306), Deflactor!$BP$305, IF(AND(AU309&gt;=Deflactor!$BQ$306,AU309&lt;Deflactor!$BQ$307), Deflactor!$BP$306, Deflactor!$BP$307) ) ) ) ) ) ) ) ) )</f>
        <v>3</v>
      </c>
    </row>
    <row r="310" spans="1:48" x14ac:dyDescent="0.25">
      <c r="A310" s="3">
        <v>2008</v>
      </c>
      <c r="B310" s="3" t="s">
        <v>50</v>
      </c>
      <c r="C310" s="3" t="s">
        <v>92</v>
      </c>
      <c r="D310" s="3" t="s">
        <v>8</v>
      </c>
      <c r="E310" s="3" t="s">
        <v>51</v>
      </c>
      <c r="F310" s="3" t="s">
        <v>310</v>
      </c>
      <c r="G310" s="3"/>
      <c r="H310" s="12"/>
      <c r="I310" s="13"/>
      <c r="J310" s="10"/>
      <c r="K310" s="3"/>
      <c r="L310" s="3"/>
      <c r="M310" s="3"/>
      <c r="N310" s="3"/>
      <c r="O310" s="3"/>
      <c r="P310" s="3"/>
      <c r="Q310" s="3"/>
      <c r="R310" s="3"/>
      <c r="S310" s="3"/>
      <c r="T310" s="3"/>
      <c r="U310" s="3" t="s">
        <v>1146</v>
      </c>
      <c r="V310" s="3"/>
      <c r="W310" s="10" t="str">
        <f>IF( J310="s.i", "s.i", IF(ISBLANK(J310),"Actualizando información",IFERROR(J310 / VLOOKUP(A310,Deflactor!$G$3:$H$64,2,0),"Revisar error" )))</f>
        <v>Actualizando información</v>
      </c>
    </row>
    <row r="311" spans="1:48" x14ac:dyDescent="0.25">
      <c r="A311" s="3">
        <v>2008</v>
      </c>
      <c r="B311" s="3" t="s">
        <v>389</v>
      </c>
      <c r="C311" s="3" t="s">
        <v>92</v>
      </c>
      <c r="D311" s="3" t="s">
        <v>8</v>
      </c>
      <c r="E311" s="3" t="s">
        <v>51</v>
      </c>
      <c r="F311" s="3" t="s">
        <v>310</v>
      </c>
      <c r="G311" s="3"/>
      <c r="H311" s="12"/>
      <c r="I311" s="13"/>
      <c r="J311" s="10"/>
      <c r="K311" s="3"/>
      <c r="L311" s="3"/>
      <c r="M311" s="3"/>
      <c r="N311" s="3"/>
      <c r="O311" s="3"/>
      <c r="P311" s="3"/>
      <c r="Q311" s="3"/>
      <c r="R311" s="3"/>
      <c r="S311" s="3"/>
      <c r="T311" s="3"/>
      <c r="U311" s="3"/>
      <c r="V311" s="3"/>
      <c r="W311" s="10" t="str">
        <f>IF( J311="s.i", "s.i", IF(ISBLANK(J311),"Actualizando información",IFERROR(J311 / VLOOKUP(A311,Deflactor!$G$3:$H$64,2,0),"Revisar error" )))</f>
        <v>Actualizando información</v>
      </c>
    </row>
    <row r="312" spans="1:48" x14ac:dyDescent="0.25">
      <c r="A312" s="3">
        <v>2008</v>
      </c>
      <c r="B312" s="3" t="s">
        <v>390</v>
      </c>
      <c r="C312" s="3" t="s">
        <v>7</v>
      </c>
      <c r="D312" s="3" t="s">
        <v>36</v>
      </c>
      <c r="E312" s="3" t="s">
        <v>68</v>
      </c>
      <c r="F312" s="3" t="s">
        <v>351</v>
      </c>
      <c r="G312" s="3"/>
      <c r="H312" s="12"/>
      <c r="I312" s="13"/>
      <c r="J312" s="10"/>
      <c r="K312" s="3"/>
      <c r="L312" s="3"/>
      <c r="M312" s="3"/>
      <c r="N312" s="3"/>
      <c r="O312" s="3"/>
      <c r="P312" s="3"/>
      <c r="Q312" s="3"/>
      <c r="R312" s="3"/>
      <c r="S312" s="3"/>
      <c r="T312" s="3"/>
      <c r="U312" s="3"/>
      <c r="V312" s="3"/>
      <c r="W312" s="10" t="str">
        <f>IF( J312="s.i", "s.i", IF(ISBLANK(J312),"Actualizando información",IFERROR(J312 / VLOOKUP(A312,Deflactor!$G$3:$H$64,2,0),"Revisar error" )))</f>
        <v>Actualizando información</v>
      </c>
    </row>
    <row r="313" spans="1:48" x14ac:dyDescent="0.25">
      <c r="A313" s="3">
        <v>2008</v>
      </c>
      <c r="B313" s="3" t="s">
        <v>391</v>
      </c>
      <c r="C313" s="3" t="s">
        <v>7</v>
      </c>
      <c r="D313" s="3" t="s">
        <v>12</v>
      </c>
      <c r="E313" s="3" t="s">
        <v>13</v>
      </c>
      <c r="F313" s="3" t="s">
        <v>329</v>
      </c>
      <c r="G313" s="3"/>
      <c r="H313" s="12"/>
      <c r="I313" s="13"/>
      <c r="J313" s="10"/>
      <c r="K313" s="3"/>
      <c r="L313" s="3"/>
      <c r="M313" s="3"/>
      <c r="N313" s="3"/>
      <c r="O313" s="3"/>
      <c r="P313" s="3"/>
      <c r="Q313" s="3"/>
      <c r="R313" s="3"/>
      <c r="S313" s="3"/>
      <c r="T313" s="3"/>
      <c r="U313" s="3"/>
      <c r="V313" s="3"/>
      <c r="W313" s="10" t="str">
        <f>IF( J313="s.i", "s.i", IF(ISBLANK(J313),"Actualizando información",IFERROR(J313 / VLOOKUP(A313,Deflactor!$G$3:$H$64,2,0),"Revisar error" )))</f>
        <v>Actualizando información</v>
      </c>
    </row>
    <row r="314" spans="1:48" x14ac:dyDescent="0.25">
      <c r="A314" s="3">
        <v>2008</v>
      </c>
      <c r="B314" s="3" t="s">
        <v>392</v>
      </c>
      <c r="C314" s="3" t="s">
        <v>7</v>
      </c>
      <c r="D314" s="3" t="s">
        <v>290</v>
      </c>
      <c r="E314" s="3" t="s">
        <v>176</v>
      </c>
      <c r="F314" s="3" t="s">
        <v>310</v>
      </c>
      <c r="G314" s="3"/>
      <c r="H314" s="12"/>
      <c r="I314" s="13"/>
      <c r="J314" s="10"/>
      <c r="K314" s="3"/>
      <c r="L314" s="3"/>
      <c r="M314" s="3"/>
      <c r="N314" s="3"/>
      <c r="O314" s="3"/>
      <c r="P314" s="3"/>
      <c r="Q314" s="3"/>
      <c r="R314" s="3"/>
      <c r="S314" s="3"/>
      <c r="T314" s="3"/>
      <c r="U314" s="3"/>
      <c r="V314" s="3"/>
      <c r="W314" s="10" t="str">
        <f>IF( J314="s.i", "s.i", IF(ISBLANK(J314),"Actualizando información",IFERROR(J314 / VLOOKUP(A314,Deflactor!$G$3:$H$64,2,0),"Revisar error" )))</f>
        <v>Actualizando información</v>
      </c>
    </row>
    <row r="315" spans="1:48" x14ac:dyDescent="0.25">
      <c r="A315" s="3">
        <v>2008</v>
      </c>
      <c r="B315" s="3" t="s">
        <v>393</v>
      </c>
      <c r="C315" s="3" t="s">
        <v>7</v>
      </c>
      <c r="D315" s="3" t="s">
        <v>290</v>
      </c>
      <c r="E315" s="3" t="s">
        <v>21</v>
      </c>
      <c r="F315" s="3" t="s">
        <v>329</v>
      </c>
      <c r="G315" s="3"/>
      <c r="H315" s="12"/>
      <c r="I315" s="13"/>
      <c r="J315" s="10"/>
      <c r="K315" s="3"/>
      <c r="L315" s="3"/>
      <c r="M315" s="3"/>
      <c r="N315" s="3"/>
      <c r="O315" s="3"/>
      <c r="P315" s="3"/>
      <c r="Q315" s="3"/>
      <c r="R315" s="3"/>
      <c r="S315" s="3"/>
      <c r="T315" s="3"/>
      <c r="U315" s="3"/>
      <c r="V315" s="3"/>
      <c r="W315" s="10" t="str">
        <f>IF( J315="s.i", "s.i", IF(ISBLANK(J315),"Actualizando información",IFERROR(J315 / VLOOKUP(A315,Deflactor!$G$3:$H$64,2,0),"Revisar error" )))</f>
        <v>Actualizando información</v>
      </c>
    </row>
    <row r="316" spans="1:48" x14ac:dyDescent="0.25">
      <c r="A316" s="3">
        <v>2008</v>
      </c>
      <c r="B316" s="3" t="s">
        <v>394</v>
      </c>
      <c r="C316" s="3" t="s">
        <v>7</v>
      </c>
      <c r="D316" s="3" t="s">
        <v>290</v>
      </c>
      <c r="E316" s="3" t="s">
        <v>395</v>
      </c>
      <c r="F316" s="3" t="s">
        <v>310</v>
      </c>
      <c r="G316" s="3"/>
      <c r="H316" s="12"/>
      <c r="I316" s="13"/>
      <c r="J316" s="10"/>
      <c r="K316" s="3"/>
      <c r="L316" s="3"/>
      <c r="M316" s="3"/>
      <c r="N316" s="3"/>
      <c r="O316" s="3"/>
      <c r="P316" s="3"/>
      <c r="Q316" s="3"/>
      <c r="R316" s="3"/>
      <c r="S316" s="3"/>
      <c r="T316" s="3"/>
      <c r="U316" s="3"/>
      <c r="V316" s="3"/>
      <c r="W316" s="10" t="str">
        <f>IF( J316="s.i", "s.i", IF(ISBLANK(J316),"Actualizando información",IFERROR(J316 / VLOOKUP(A316,Deflactor!$G$3:$H$64,2,0),"Revisar error" )))</f>
        <v>Actualizando información</v>
      </c>
    </row>
    <row r="317" spans="1:48" x14ac:dyDescent="0.25">
      <c r="A317" s="3">
        <v>2008</v>
      </c>
      <c r="B317" s="3" t="s">
        <v>396</v>
      </c>
      <c r="C317" s="3" t="s">
        <v>7</v>
      </c>
      <c r="D317" s="3" t="s">
        <v>397</v>
      </c>
      <c r="E317" s="3" t="s">
        <v>398</v>
      </c>
      <c r="F317" s="3" t="s">
        <v>399</v>
      </c>
      <c r="G317" s="3"/>
      <c r="H317" s="12"/>
      <c r="I317" s="13"/>
      <c r="J317" s="10"/>
      <c r="K317" s="3"/>
      <c r="L317" s="3"/>
      <c r="M317" s="3"/>
      <c r="N317" s="3"/>
      <c r="O317" s="3"/>
      <c r="P317" s="3"/>
      <c r="Q317" s="3"/>
      <c r="R317" s="3"/>
      <c r="S317" s="3"/>
      <c r="T317" s="3"/>
      <c r="U317" s="3"/>
      <c r="V317" s="3"/>
      <c r="W317" s="10" t="str">
        <f>IF( J317="s.i", "s.i", IF(ISBLANK(J317),"Actualizando información",IFERROR(J317 / VLOOKUP(A317,Deflactor!$G$3:$H$64,2,0),"Revisar error" )))</f>
        <v>Actualizando información</v>
      </c>
    </row>
    <row r="318" spans="1:48" x14ac:dyDescent="0.25">
      <c r="A318" s="3">
        <v>2008</v>
      </c>
      <c r="B318" s="3" t="s">
        <v>400</v>
      </c>
      <c r="C318" s="3" t="s">
        <v>7</v>
      </c>
      <c r="D318" s="3" t="s">
        <v>159</v>
      </c>
      <c r="E318" s="3" t="s">
        <v>401</v>
      </c>
      <c r="F318" s="3" t="s">
        <v>399</v>
      </c>
      <c r="G318" s="3"/>
      <c r="H318" s="12"/>
      <c r="I318" s="13"/>
      <c r="J318" s="10"/>
      <c r="K318" s="3" t="s">
        <v>994</v>
      </c>
      <c r="L318" s="3"/>
      <c r="M318" s="3"/>
      <c r="N318" s="3"/>
      <c r="O318" s="3"/>
      <c r="P318" s="3"/>
      <c r="Q318" s="3"/>
      <c r="R318" s="3"/>
      <c r="S318" s="3"/>
      <c r="T318" s="3"/>
      <c r="U318" s="3"/>
      <c r="V318" s="3"/>
      <c r="W318" s="10" t="str">
        <f>IF( J318="s.i", "s.i", IF(ISBLANK(J318),"Actualizando información",IFERROR(J318 / VLOOKUP(A318,Deflactor!$G$3:$H$64,2,0),"Revisar error" )))</f>
        <v>Actualizando información</v>
      </c>
    </row>
    <row r="319" spans="1:48" x14ac:dyDescent="0.25">
      <c r="A319" s="3">
        <v>2008</v>
      </c>
      <c r="B319" s="3" t="s">
        <v>402</v>
      </c>
      <c r="C319" s="3" t="s">
        <v>7</v>
      </c>
      <c r="D319" s="3" t="s">
        <v>12</v>
      </c>
      <c r="E319" s="3" t="s">
        <v>403</v>
      </c>
      <c r="F319" s="3" t="s">
        <v>329</v>
      </c>
      <c r="G319" s="3"/>
      <c r="H319" s="12"/>
      <c r="I319" s="13"/>
      <c r="J319" s="10"/>
      <c r="K319" s="3" t="s">
        <v>2180</v>
      </c>
      <c r="L319" s="3"/>
      <c r="M319" s="3"/>
      <c r="N319" s="3"/>
      <c r="O319" s="3"/>
      <c r="P319" s="3"/>
      <c r="Q319" s="3"/>
      <c r="R319" s="3"/>
      <c r="S319" s="3"/>
      <c r="T319" s="3"/>
      <c r="U319" s="3"/>
      <c r="V319" s="3"/>
      <c r="W319" s="10" t="str">
        <f>IF( J319="s.i", "s.i", IF(ISBLANK(J319),"Actualizando información",IFERROR(J319 / VLOOKUP(A319,Deflactor!$G$3:$H$64,2,0),"Revisar error" )))</f>
        <v>Actualizando información</v>
      </c>
    </row>
    <row r="320" spans="1:48" x14ac:dyDescent="0.25">
      <c r="A320" s="3">
        <v>2008</v>
      </c>
      <c r="B320" s="3" t="s">
        <v>404</v>
      </c>
      <c r="C320" s="3" t="s">
        <v>7</v>
      </c>
      <c r="D320" s="3" t="s">
        <v>12</v>
      </c>
      <c r="E320" s="3" t="s">
        <v>405</v>
      </c>
      <c r="F320" s="3" t="s">
        <v>351</v>
      </c>
      <c r="G320" s="3"/>
      <c r="H320" s="12"/>
      <c r="I320" s="13"/>
      <c r="J320" s="10"/>
      <c r="K320" s="3" t="s">
        <v>2180</v>
      </c>
      <c r="L320" s="3"/>
      <c r="M320" s="3"/>
      <c r="N320" s="3"/>
      <c r="O320" s="3"/>
      <c r="P320" s="3"/>
      <c r="Q320" s="3"/>
      <c r="R320" s="3"/>
      <c r="S320" s="3"/>
      <c r="T320" s="3"/>
      <c r="U320" s="3"/>
      <c r="V320" s="3"/>
      <c r="W320" s="10" t="str">
        <f>IF( J320="s.i", "s.i", IF(ISBLANK(J320),"Actualizando información",IFERROR(J320 / VLOOKUP(A320,Deflactor!$G$3:$H$64,2,0),"Revisar error" )))</f>
        <v>Actualizando información</v>
      </c>
    </row>
    <row r="321" spans="1:23" x14ac:dyDescent="0.25">
      <c r="A321" s="3">
        <v>2008</v>
      </c>
      <c r="B321" s="3" t="s">
        <v>406</v>
      </c>
      <c r="C321" s="3" t="s">
        <v>7</v>
      </c>
      <c r="D321" s="3" t="s">
        <v>45</v>
      </c>
      <c r="E321" s="3" t="s">
        <v>407</v>
      </c>
      <c r="F321" s="3" t="s">
        <v>351</v>
      </c>
      <c r="G321" s="3"/>
      <c r="H321" s="12"/>
      <c r="I321" s="13"/>
      <c r="J321" s="10"/>
      <c r="K321" s="3"/>
      <c r="L321" s="3"/>
      <c r="M321" s="3"/>
      <c r="N321" s="3"/>
      <c r="O321" s="3"/>
      <c r="P321" s="3"/>
      <c r="Q321" s="3"/>
      <c r="R321" s="3"/>
      <c r="S321" s="3"/>
      <c r="T321" s="3"/>
      <c r="U321" s="3"/>
      <c r="V321" s="3"/>
      <c r="W321" s="10" t="str">
        <f>IF( J321="s.i", "s.i", IF(ISBLANK(J321),"Actualizando información",IFERROR(J321 / VLOOKUP(A321,Deflactor!$G$3:$H$64,2,0),"Revisar error" )))</f>
        <v>Actualizando información</v>
      </c>
    </row>
    <row r="322" spans="1:23" x14ac:dyDescent="0.25">
      <c r="A322" s="3">
        <v>2008</v>
      </c>
      <c r="B322" s="3" t="s">
        <v>408</v>
      </c>
      <c r="C322" s="3" t="s">
        <v>155</v>
      </c>
      <c r="D322" s="3" t="s">
        <v>25</v>
      </c>
      <c r="E322" s="3" t="s">
        <v>409</v>
      </c>
      <c r="F322" s="3" t="s">
        <v>157</v>
      </c>
      <c r="G322" s="3"/>
      <c r="H322" s="12"/>
      <c r="I322" s="13"/>
      <c r="J322" s="10"/>
      <c r="K322" s="3" t="s">
        <v>2166</v>
      </c>
      <c r="L322" s="3"/>
      <c r="M322" s="3"/>
      <c r="N322" s="3"/>
      <c r="O322" s="3"/>
      <c r="P322" s="3"/>
      <c r="Q322" s="3"/>
      <c r="R322" s="3"/>
      <c r="S322" s="3"/>
      <c r="T322" s="3"/>
      <c r="U322" s="3"/>
      <c r="V322" s="3"/>
      <c r="W322" s="10" t="str">
        <f>IF( J322="s.i", "s.i", IF(ISBLANK(J322),"Actualizando información",IFERROR(J322 / VLOOKUP(A322,Deflactor!$G$3:$H$64,2,0),"Revisar error" )))</f>
        <v>Actualizando información</v>
      </c>
    </row>
    <row r="323" spans="1:23" x14ac:dyDescent="0.25">
      <c r="A323" s="3">
        <v>2008</v>
      </c>
      <c r="B323" s="3" t="s">
        <v>410</v>
      </c>
      <c r="C323" s="3" t="s">
        <v>155</v>
      </c>
      <c r="D323" s="3" t="s">
        <v>25</v>
      </c>
      <c r="E323" s="3" t="s">
        <v>409</v>
      </c>
      <c r="F323" s="3" t="s">
        <v>157</v>
      </c>
      <c r="G323" s="3"/>
      <c r="H323" s="12"/>
      <c r="I323" s="13"/>
      <c r="J323" s="10"/>
      <c r="K323" s="3" t="s">
        <v>2166</v>
      </c>
      <c r="L323" s="3"/>
      <c r="M323" s="3"/>
      <c r="N323" s="3"/>
      <c r="O323" s="3"/>
      <c r="P323" s="3"/>
      <c r="Q323" s="3"/>
      <c r="R323" s="3"/>
      <c r="S323" s="3"/>
      <c r="T323" s="3"/>
      <c r="U323" s="3"/>
      <c r="V323" s="3"/>
      <c r="W323" s="10" t="str">
        <f>IF( J323="s.i", "s.i", IF(ISBLANK(J323),"Actualizando información",IFERROR(J323 / VLOOKUP(A323,Deflactor!$G$3:$H$64,2,0),"Revisar error" )))</f>
        <v>Actualizando información</v>
      </c>
    </row>
    <row r="324" spans="1:23" x14ac:dyDescent="0.25">
      <c r="A324" s="3">
        <v>2008</v>
      </c>
      <c r="B324" s="3" t="s">
        <v>411</v>
      </c>
      <c r="C324" s="3" t="s">
        <v>155</v>
      </c>
      <c r="D324" s="3" t="s">
        <v>25</v>
      </c>
      <c r="E324" s="3" t="s">
        <v>153</v>
      </c>
      <c r="F324" s="3" t="s">
        <v>157</v>
      </c>
      <c r="G324" s="3"/>
      <c r="H324" s="12"/>
      <c r="I324" s="13"/>
      <c r="J324" s="10"/>
      <c r="K324" s="3" t="s">
        <v>2166</v>
      </c>
      <c r="L324" s="3"/>
      <c r="M324" s="3"/>
      <c r="N324" s="3"/>
      <c r="O324" s="3"/>
      <c r="P324" s="3"/>
      <c r="Q324" s="3"/>
      <c r="R324" s="3"/>
      <c r="S324" s="3"/>
      <c r="T324" s="3"/>
      <c r="U324" s="3"/>
      <c r="V324" s="3"/>
      <c r="W324" s="10" t="str">
        <f>IF( J324="s.i", "s.i", IF(ISBLANK(J324),"Actualizando información",IFERROR(J324 / VLOOKUP(A324,Deflactor!$G$3:$H$64,2,0),"Revisar error" )))</f>
        <v>Actualizando información</v>
      </c>
    </row>
    <row r="325" spans="1:23" x14ac:dyDescent="0.25">
      <c r="A325" s="3">
        <v>2008</v>
      </c>
      <c r="B325" s="3" t="s">
        <v>412</v>
      </c>
      <c r="C325" s="3" t="s">
        <v>7</v>
      </c>
      <c r="D325" s="3" t="s">
        <v>36</v>
      </c>
      <c r="E325" s="3" t="s">
        <v>37</v>
      </c>
      <c r="F325" s="3" t="s">
        <v>329</v>
      </c>
      <c r="G325" s="3"/>
      <c r="H325" s="12"/>
      <c r="I325" s="13"/>
      <c r="J325" s="10"/>
      <c r="K325" s="3"/>
      <c r="L325" s="3"/>
      <c r="M325" s="3"/>
      <c r="N325" s="3"/>
      <c r="O325" s="3"/>
      <c r="P325" s="3"/>
      <c r="Q325" s="3"/>
      <c r="R325" s="3"/>
      <c r="S325" s="3"/>
      <c r="T325" s="3"/>
      <c r="U325" s="3"/>
      <c r="V325" s="3"/>
      <c r="W325" s="10" t="str">
        <f>IF( J325="s.i", "s.i", IF(ISBLANK(J325),"Actualizando información",IFERROR(J325 / VLOOKUP(A325,Deflactor!$G$3:$H$64,2,0),"Revisar error" )))</f>
        <v>Actualizando información</v>
      </c>
    </row>
    <row r="326" spans="1:23" x14ac:dyDescent="0.25">
      <c r="A326" s="3">
        <v>2008</v>
      </c>
      <c r="B326" s="3" t="s">
        <v>413</v>
      </c>
      <c r="C326" s="3" t="s">
        <v>92</v>
      </c>
      <c r="D326" s="3" t="s">
        <v>36</v>
      </c>
      <c r="E326" s="3" t="s">
        <v>37</v>
      </c>
      <c r="F326" s="3" t="s">
        <v>310</v>
      </c>
      <c r="G326" s="3"/>
      <c r="H326" s="12"/>
      <c r="I326" s="13"/>
      <c r="J326" s="10"/>
      <c r="K326" s="3" t="s">
        <v>2161</v>
      </c>
      <c r="L326" s="3"/>
      <c r="M326" s="3"/>
      <c r="N326" s="3"/>
      <c r="O326" s="3"/>
      <c r="P326" s="3"/>
      <c r="Q326" s="3"/>
      <c r="R326" s="3"/>
      <c r="S326" s="3"/>
      <c r="T326" s="3"/>
      <c r="U326" s="3"/>
      <c r="V326" s="3"/>
      <c r="W326" s="10" t="str">
        <f>IF( J326="s.i", "s.i", IF(ISBLANK(J326),"Actualizando información",IFERROR(J326 / VLOOKUP(A326,Deflactor!$G$3:$H$64,2,0),"Revisar error" )))</f>
        <v>Actualizando información</v>
      </c>
    </row>
    <row r="327" spans="1:23" x14ac:dyDescent="0.25">
      <c r="A327" s="3">
        <v>2008</v>
      </c>
      <c r="B327" s="3" t="s">
        <v>414</v>
      </c>
      <c r="C327" s="3" t="s">
        <v>92</v>
      </c>
      <c r="D327" s="3" t="s">
        <v>36</v>
      </c>
      <c r="E327" s="3" t="s">
        <v>37</v>
      </c>
      <c r="F327" s="3" t="s">
        <v>310</v>
      </c>
      <c r="G327" s="3"/>
      <c r="H327" s="12"/>
      <c r="I327" s="13"/>
      <c r="J327" s="10"/>
      <c r="K327" s="3" t="s">
        <v>2161</v>
      </c>
      <c r="L327" s="3"/>
      <c r="M327" s="3"/>
      <c r="N327" s="3"/>
      <c r="O327" s="3"/>
      <c r="P327" s="3"/>
      <c r="Q327" s="3"/>
      <c r="R327" s="3"/>
      <c r="S327" s="3"/>
      <c r="T327" s="3"/>
      <c r="U327" s="3"/>
      <c r="V327" s="3"/>
      <c r="W327" s="10" t="str">
        <f>IF( J327="s.i", "s.i", IF(ISBLANK(J327),"Actualizando información",IFERROR(J327 / VLOOKUP(A327,Deflactor!$G$3:$H$64,2,0),"Revisar error" )))</f>
        <v>Actualizando información</v>
      </c>
    </row>
    <row r="328" spans="1:23" x14ac:dyDescent="0.25">
      <c r="A328" s="3">
        <v>2008</v>
      </c>
      <c r="B328" s="3" t="s">
        <v>415</v>
      </c>
      <c r="C328" s="3" t="s">
        <v>92</v>
      </c>
      <c r="D328" s="3" t="s">
        <v>36</v>
      </c>
      <c r="E328" s="3" t="s">
        <v>37</v>
      </c>
      <c r="F328" s="3" t="s">
        <v>310</v>
      </c>
      <c r="G328" s="3"/>
      <c r="H328" s="12"/>
      <c r="I328" s="13"/>
      <c r="J328" s="10"/>
      <c r="K328" s="3" t="s">
        <v>2161</v>
      </c>
      <c r="L328" s="3"/>
      <c r="M328" s="3"/>
      <c r="N328" s="3"/>
      <c r="O328" s="3"/>
      <c r="P328" s="3"/>
      <c r="Q328" s="3"/>
      <c r="R328" s="3"/>
      <c r="S328" s="3"/>
      <c r="T328" s="3"/>
      <c r="U328" s="3"/>
      <c r="V328" s="3"/>
      <c r="W328" s="10" t="str">
        <f>IF( J328="s.i", "s.i", IF(ISBLANK(J328),"Actualizando información",IFERROR(J328 / VLOOKUP(A328,Deflactor!$G$3:$H$64,2,0),"Revisar error" )))</f>
        <v>Actualizando información</v>
      </c>
    </row>
    <row r="329" spans="1:23" x14ac:dyDescent="0.25">
      <c r="A329" s="3">
        <v>2008</v>
      </c>
      <c r="B329" s="3" t="s">
        <v>416</v>
      </c>
      <c r="C329" s="3" t="s">
        <v>92</v>
      </c>
      <c r="D329" s="3" t="s">
        <v>36</v>
      </c>
      <c r="E329" s="3" t="s">
        <v>37</v>
      </c>
      <c r="F329" s="3" t="s">
        <v>310</v>
      </c>
      <c r="G329" s="3"/>
      <c r="H329" s="12"/>
      <c r="I329" s="13"/>
      <c r="J329" s="10"/>
      <c r="K329" s="3" t="s">
        <v>2161</v>
      </c>
      <c r="L329" s="3"/>
      <c r="M329" s="3"/>
      <c r="N329" s="3"/>
      <c r="O329" s="3"/>
      <c r="P329" s="3"/>
      <c r="Q329" s="3"/>
      <c r="R329" s="3"/>
      <c r="S329" s="3"/>
      <c r="T329" s="3"/>
      <c r="U329" s="3"/>
      <c r="V329" s="3"/>
      <c r="W329" s="10" t="str">
        <f>IF( J329="s.i", "s.i", IF(ISBLANK(J329),"Actualizando información",IFERROR(J329 / VLOOKUP(A329,Deflactor!$G$3:$H$64,2,0),"Revisar error" )))</f>
        <v>Actualizando información</v>
      </c>
    </row>
    <row r="330" spans="1:23" x14ac:dyDescent="0.25">
      <c r="A330" s="3">
        <v>2008</v>
      </c>
      <c r="B330" s="3" t="s">
        <v>417</v>
      </c>
      <c r="C330" s="3" t="s">
        <v>92</v>
      </c>
      <c r="D330" s="3" t="s">
        <v>36</v>
      </c>
      <c r="E330" s="3" t="s">
        <v>37</v>
      </c>
      <c r="F330" s="3" t="s">
        <v>310</v>
      </c>
      <c r="G330" s="3"/>
      <c r="H330" s="12"/>
      <c r="I330" s="13"/>
      <c r="J330" s="10"/>
      <c r="K330" s="3" t="s">
        <v>2161</v>
      </c>
      <c r="L330" s="3"/>
      <c r="M330" s="3"/>
      <c r="N330" s="3"/>
      <c r="O330" s="3"/>
      <c r="P330" s="3"/>
      <c r="Q330" s="3"/>
      <c r="R330" s="3"/>
      <c r="S330" s="3"/>
      <c r="T330" s="3"/>
      <c r="U330" s="3"/>
      <c r="V330" s="3"/>
      <c r="W330" s="10" t="str">
        <f>IF( J330="s.i", "s.i", IF(ISBLANK(J330),"Actualizando información",IFERROR(J330 / VLOOKUP(A330,Deflactor!$G$3:$H$64,2,0),"Revisar error" )))</f>
        <v>Actualizando información</v>
      </c>
    </row>
    <row r="331" spans="1:23" x14ac:dyDescent="0.25">
      <c r="A331" s="3">
        <v>2008</v>
      </c>
      <c r="B331" s="3" t="s">
        <v>418</v>
      </c>
      <c r="C331" s="3" t="s">
        <v>92</v>
      </c>
      <c r="D331" s="3" t="s">
        <v>36</v>
      </c>
      <c r="E331" s="3" t="s">
        <v>37</v>
      </c>
      <c r="F331" s="3" t="s">
        <v>310</v>
      </c>
      <c r="G331" s="3"/>
      <c r="H331" s="12"/>
      <c r="I331" s="13"/>
      <c r="J331" s="10"/>
      <c r="K331" s="3" t="s">
        <v>2161</v>
      </c>
      <c r="L331" s="3"/>
      <c r="M331" s="3"/>
      <c r="N331" s="3"/>
      <c r="O331" s="3"/>
      <c r="P331" s="3"/>
      <c r="Q331" s="3"/>
      <c r="R331" s="3"/>
      <c r="S331" s="3"/>
      <c r="T331" s="3"/>
      <c r="U331" s="3"/>
      <c r="V331" s="3"/>
      <c r="W331" s="10" t="str">
        <f>IF( J331="s.i", "s.i", IF(ISBLANK(J331),"Actualizando información",IFERROR(J331 / VLOOKUP(A331,Deflactor!$G$3:$H$64,2,0),"Revisar error" )))</f>
        <v>Actualizando información</v>
      </c>
    </row>
    <row r="332" spans="1:23" x14ac:dyDescent="0.25">
      <c r="A332" s="3">
        <v>2008</v>
      </c>
      <c r="B332" s="3" t="s">
        <v>419</v>
      </c>
      <c r="C332" s="3" t="s">
        <v>7</v>
      </c>
      <c r="D332" s="3" t="s">
        <v>36</v>
      </c>
      <c r="E332" s="3" t="s">
        <v>81</v>
      </c>
      <c r="F332" s="3" t="s">
        <v>310</v>
      </c>
      <c r="G332" s="3"/>
      <c r="H332" s="12"/>
      <c r="I332" s="13"/>
      <c r="J332" s="10"/>
      <c r="K332" s="3"/>
      <c r="L332" s="3"/>
      <c r="M332" s="3"/>
      <c r="N332" s="3"/>
      <c r="O332" s="3"/>
      <c r="P332" s="3"/>
      <c r="Q332" s="3"/>
      <c r="R332" s="3"/>
      <c r="S332" s="3"/>
      <c r="T332" s="3"/>
      <c r="U332" s="3"/>
      <c r="V332" s="3"/>
      <c r="W332" s="10" t="str">
        <f>IF( J332="s.i", "s.i", IF(ISBLANK(J332),"Actualizando información",IFERROR(J332 / VLOOKUP(A332,Deflactor!$G$3:$H$64,2,0),"Revisar error" )))</f>
        <v>Actualizando información</v>
      </c>
    </row>
    <row r="333" spans="1:23" x14ac:dyDescent="0.25">
      <c r="A333" s="3">
        <v>2008</v>
      </c>
      <c r="B333" s="3" t="s">
        <v>420</v>
      </c>
      <c r="C333" s="3" t="s">
        <v>7</v>
      </c>
      <c r="D333" s="3" t="s">
        <v>40</v>
      </c>
      <c r="E333" s="3" t="s">
        <v>160</v>
      </c>
      <c r="F333" s="3" t="s">
        <v>329</v>
      </c>
      <c r="G333" s="3"/>
      <c r="H333" s="12"/>
      <c r="I333" s="13"/>
      <c r="J333" s="10"/>
      <c r="K333" s="3" t="s">
        <v>2180</v>
      </c>
      <c r="L333" s="3"/>
      <c r="M333" s="3"/>
      <c r="N333" s="3"/>
      <c r="O333" s="3"/>
      <c r="P333" s="3"/>
      <c r="Q333" s="3"/>
      <c r="R333" s="3"/>
      <c r="S333" s="3"/>
      <c r="T333" s="3"/>
      <c r="U333" s="3"/>
      <c r="V333" s="3"/>
      <c r="W333" s="10" t="str">
        <f>IF( J333="s.i", "s.i", IF(ISBLANK(J333),"Actualizando información",IFERROR(J333 / VLOOKUP(A333,Deflactor!$G$3:$H$64,2,0),"Revisar error" )))</f>
        <v>Actualizando información</v>
      </c>
    </row>
    <row r="334" spans="1:23" x14ac:dyDescent="0.25">
      <c r="A334" s="3">
        <v>2008</v>
      </c>
      <c r="B334" s="3" t="s">
        <v>421</v>
      </c>
      <c r="C334" s="3" t="s">
        <v>155</v>
      </c>
      <c r="D334" s="3" t="s">
        <v>40</v>
      </c>
      <c r="E334" s="3" t="s">
        <v>162</v>
      </c>
      <c r="F334" s="3" t="s">
        <v>157</v>
      </c>
      <c r="G334" s="3"/>
      <c r="H334" s="12"/>
      <c r="I334" s="13"/>
      <c r="J334" s="10"/>
      <c r="K334" s="3"/>
      <c r="L334" s="3"/>
      <c r="M334" s="3"/>
      <c r="N334" s="3"/>
      <c r="O334" s="3"/>
      <c r="P334" s="3"/>
      <c r="Q334" s="3"/>
      <c r="R334" s="3"/>
      <c r="S334" s="3"/>
      <c r="T334" s="3"/>
      <c r="U334" s="3"/>
      <c r="V334" s="3"/>
      <c r="W334" s="10" t="str">
        <f>IF( J334="s.i", "s.i", IF(ISBLANK(J334),"Actualizando información",IFERROR(J334 / VLOOKUP(A334,Deflactor!$G$3:$H$64,2,0),"Revisar error" )))</f>
        <v>Actualizando información</v>
      </c>
    </row>
    <row r="335" spans="1:23" x14ac:dyDescent="0.25">
      <c r="A335" s="3">
        <v>2008</v>
      </c>
      <c r="B335" s="3" t="s">
        <v>422</v>
      </c>
      <c r="C335" s="3" t="s">
        <v>92</v>
      </c>
      <c r="D335" s="3" t="s">
        <v>64</v>
      </c>
      <c r="E335" s="3" t="s">
        <v>65</v>
      </c>
      <c r="F335" s="3" t="s">
        <v>329</v>
      </c>
      <c r="G335" s="3"/>
      <c r="H335" s="12"/>
      <c r="I335" s="13"/>
      <c r="J335" s="10"/>
      <c r="K335" s="3"/>
      <c r="L335" s="3"/>
      <c r="M335" s="3"/>
      <c r="N335" s="3"/>
      <c r="O335" s="3"/>
      <c r="P335" s="3"/>
      <c r="Q335" s="3"/>
      <c r="R335" s="3"/>
      <c r="S335" s="3"/>
      <c r="T335" s="3"/>
      <c r="U335" s="3"/>
      <c r="V335" s="3"/>
      <c r="W335" s="10" t="str">
        <f>IF( J335="s.i", "s.i", IF(ISBLANK(J335),"Actualizando información",IFERROR(J335 / VLOOKUP(A335,Deflactor!$G$3:$H$64,2,0),"Revisar error" )))</f>
        <v>Actualizando información</v>
      </c>
    </row>
    <row r="336" spans="1:23" x14ac:dyDescent="0.25">
      <c r="A336" s="3">
        <v>2008</v>
      </c>
      <c r="B336" s="3" t="s">
        <v>423</v>
      </c>
      <c r="C336" s="3" t="s">
        <v>155</v>
      </c>
      <c r="D336" s="3" t="s">
        <v>54</v>
      </c>
      <c r="E336" s="3" t="s">
        <v>236</v>
      </c>
      <c r="F336" s="3" t="s">
        <v>157</v>
      </c>
      <c r="G336" s="3"/>
      <c r="H336" s="12"/>
      <c r="I336" s="13"/>
      <c r="J336" s="10"/>
      <c r="K336" s="3"/>
      <c r="L336" s="3"/>
      <c r="M336" s="3"/>
      <c r="N336" s="3"/>
      <c r="O336" s="3"/>
      <c r="P336" s="3"/>
      <c r="Q336" s="3"/>
      <c r="R336" s="3"/>
      <c r="S336" s="3"/>
      <c r="T336" s="3"/>
      <c r="U336" s="3"/>
      <c r="V336" s="3"/>
      <c r="W336" s="10" t="str">
        <f>IF( J336="s.i", "s.i", IF(ISBLANK(J336),"Actualizando información",IFERROR(J336 / VLOOKUP(A336,Deflactor!$G$3:$H$64,2,0),"Revisar error" )))</f>
        <v>Actualizando información</v>
      </c>
    </row>
    <row r="337" spans="1:23" x14ac:dyDescent="0.25">
      <c r="A337" s="3">
        <v>2008</v>
      </c>
      <c r="B337" s="3" t="s">
        <v>424</v>
      </c>
      <c r="C337" s="3" t="s">
        <v>155</v>
      </c>
      <c r="D337" s="3" t="s">
        <v>32</v>
      </c>
      <c r="E337" s="3" t="s">
        <v>33</v>
      </c>
      <c r="F337" s="3" t="s">
        <v>157</v>
      </c>
      <c r="G337" s="3"/>
      <c r="H337" s="12"/>
      <c r="I337" s="13"/>
      <c r="J337" s="10"/>
      <c r="K337" s="3"/>
      <c r="L337" s="3"/>
      <c r="M337" s="3"/>
      <c r="N337" s="3"/>
      <c r="O337" s="3"/>
      <c r="P337" s="3"/>
      <c r="Q337" s="3"/>
      <c r="R337" s="3"/>
      <c r="S337" s="3"/>
      <c r="T337" s="3"/>
      <c r="U337" s="3"/>
      <c r="V337" s="3"/>
      <c r="W337" s="10" t="str">
        <f>IF( J337="s.i", "s.i", IF(ISBLANK(J337),"Actualizando información",IFERROR(J337 / VLOOKUP(A337,Deflactor!$G$3:$H$64,2,0),"Revisar error" )))</f>
        <v>Actualizando información</v>
      </c>
    </row>
    <row r="338" spans="1:23" x14ac:dyDescent="0.25">
      <c r="A338" s="3">
        <v>2008</v>
      </c>
      <c r="B338" s="3" t="s">
        <v>425</v>
      </c>
      <c r="C338" s="3" t="s">
        <v>155</v>
      </c>
      <c r="D338" s="3" t="s">
        <v>32</v>
      </c>
      <c r="E338" s="3" t="s">
        <v>33</v>
      </c>
      <c r="F338" s="3" t="s">
        <v>157</v>
      </c>
      <c r="G338" s="3"/>
      <c r="H338" s="12"/>
      <c r="I338" s="13"/>
      <c r="J338" s="10"/>
      <c r="K338" s="3"/>
      <c r="L338" s="3"/>
      <c r="M338" s="3"/>
      <c r="N338" s="3"/>
      <c r="O338" s="3"/>
      <c r="P338" s="3"/>
      <c r="Q338" s="3"/>
      <c r="R338" s="3"/>
      <c r="S338" s="3"/>
      <c r="T338" s="3"/>
      <c r="U338" s="3"/>
      <c r="V338" s="3"/>
      <c r="W338" s="10" t="str">
        <f>IF( J338="s.i", "s.i", IF(ISBLANK(J338),"Actualizando información",IFERROR(J338 / VLOOKUP(A338,Deflactor!$G$3:$H$64,2,0),"Revisar error" )))</f>
        <v>Actualizando información</v>
      </c>
    </row>
    <row r="339" spans="1:23" x14ac:dyDescent="0.25">
      <c r="A339" s="3">
        <v>2008</v>
      </c>
      <c r="B339" s="3" t="s">
        <v>426</v>
      </c>
      <c r="C339" s="3" t="s">
        <v>92</v>
      </c>
      <c r="D339" s="3" t="s">
        <v>290</v>
      </c>
      <c r="E339" s="3" t="s">
        <v>120</v>
      </c>
      <c r="F339" s="3" t="s">
        <v>308</v>
      </c>
      <c r="G339" s="3"/>
      <c r="H339" s="12"/>
      <c r="I339" s="13"/>
      <c r="J339" s="10"/>
      <c r="K339" s="3"/>
      <c r="L339" s="3"/>
      <c r="M339" s="3"/>
      <c r="N339" s="3"/>
      <c r="O339" s="3"/>
      <c r="P339" s="3"/>
      <c r="Q339" s="3"/>
      <c r="R339" s="3"/>
      <c r="S339" s="3"/>
      <c r="T339" s="3"/>
      <c r="U339" s="3"/>
      <c r="V339" s="3"/>
      <c r="W339" s="10" t="str">
        <f>IF( J339="s.i", "s.i", IF(ISBLANK(J339),"Actualizando información",IFERROR(J339 / VLOOKUP(A339,Deflactor!$G$3:$H$64,2,0),"Revisar error" )))</f>
        <v>Actualizando información</v>
      </c>
    </row>
    <row r="340" spans="1:23" x14ac:dyDescent="0.25">
      <c r="A340" s="3">
        <v>2008</v>
      </c>
      <c r="B340" s="3" t="s">
        <v>427</v>
      </c>
      <c r="C340" s="3" t="s">
        <v>7</v>
      </c>
      <c r="D340" s="3" t="s">
        <v>397</v>
      </c>
      <c r="E340" s="3" t="s">
        <v>398</v>
      </c>
      <c r="F340" s="3" t="s">
        <v>399</v>
      </c>
      <c r="G340" s="3"/>
      <c r="H340" s="12"/>
      <c r="I340" s="13"/>
      <c r="J340" s="10"/>
      <c r="K340" s="3"/>
      <c r="L340" s="3"/>
      <c r="M340" s="3"/>
      <c r="N340" s="3"/>
      <c r="O340" s="3"/>
      <c r="P340" s="3"/>
      <c r="Q340" s="3"/>
      <c r="R340" s="3"/>
      <c r="S340" s="3"/>
      <c r="T340" s="3"/>
      <c r="U340" s="3"/>
      <c r="V340" s="3"/>
      <c r="W340" s="10" t="str">
        <f>IF( J340="s.i", "s.i", IF(ISBLANK(J340),"Actualizando información",IFERROR(J340 / VLOOKUP(A340,Deflactor!$G$3:$H$64,2,0),"Revisar error" )))</f>
        <v>Actualizando información</v>
      </c>
    </row>
    <row r="341" spans="1:23" x14ac:dyDescent="0.25">
      <c r="A341" s="3">
        <v>2008</v>
      </c>
      <c r="B341" s="3" t="s">
        <v>428</v>
      </c>
      <c r="C341" s="3" t="s">
        <v>92</v>
      </c>
      <c r="D341" s="3" t="s">
        <v>290</v>
      </c>
      <c r="E341" s="3" t="s">
        <v>120</v>
      </c>
      <c r="F341" s="3" t="s">
        <v>310</v>
      </c>
      <c r="G341" s="3"/>
      <c r="H341" s="12"/>
      <c r="I341" s="13"/>
      <c r="J341" s="10"/>
      <c r="K341" s="3"/>
      <c r="L341" s="3"/>
      <c r="M341" s="3"/>
      <c r="N341" s="3"/>
      <c r="O341" s="3"/>
      <c r="P341" s="3"/>
      <c r="Q341" s="3"/>
      <c r="R341" s="3"/>
      <c r="S341" s="3"/>
      <c r="T341" s="3"/>
      <c r="U341" s="3"/>
      <c r="V341" s="3"/>
      <c r="W341" s="10" t="str">
        <f>IF( J341="s.i", "s.i", IF(ISBLANK(J341),"Actualizando información",IFERROR(J341 / VLOOKUP(A341,Deflactor!$G$3:$H$64,2,0),"Revisar error" )))</f>
        <v>Actualizando información</v>
      </c>
    </row>
    <row r="342" spans="1:23" x14ac:dyDescent="0.25">
      <c r="A342" s="3">
        <v>2008</v>
      </c>
      <c r="B342" s="3" t="s">
        <v>429</v>
      </c>
      <c r="C342" s="3" t="s">
        <v>92</v>
      </c>
      <c r="D342" s="3" t="s">
        <v>290</v>
      </c>
      <c r="E342" s="3" t="s">
        <v>120</v>
      </c>
      <c r="F342" s="3" t="s">
        <v>308</v>
      </c>
      <c r="G342" s="3"/>
      <c r="H342" s="12"/>
      <c r="I342" s="13"/>
      <c r="J342" s="10"/>
      <c r="K342" s="3"/>
      <c r="L342" s="3"/>
      <c r="M342" s="3"/>
      <c r="N342" s="3"/>
      <c r="O342" s="3"/>
      <c r="P342" s="3"/>
      <c r="Q342" s="3"/>
      <c r="R342" s="3"/>
      <c r="S342" s="3"/>
      <c r="T342" s="3"/>
      <c r="U342" s="3"/>
      <c r="V342" s="3"/>
      <c r="W342" s="10" t="str">
        <f>IF( J342="s.i", "s.i", IF(ISBLANK(J342),"Actualizando información",IFERROR(J342 / VLOOKUP(A342,Deflactor!$G$3:$H$64,2,0),"Revisar error" )))</f>
        <v>Actualizando información</v>
      </c>
    </row>
    <row r="343" spans="1:23" x14ac:dyDescent="0.25">
      <c r="A343" s="3">
        <v>2008</v>
      </c>
      <c r="B343" s="3" t="s">
        <v>430</v>
      </c>
      <c r="C343" s="3" t="s">
        <v>7</v>
      </c>
      <c r="D343" s="3" t="s">
        <v>32</v>
      </c>
      <c r="E343" s="3" t="s">
        <v>33</v>
      </c>
      <c r="F343" s="3" t="s">
        <v>329</v>
      </c>
      <c r="G343" s="3"/>
      <c r="H343" s="12"/>
      <c r="I343" s="13"/>
      <c r="J343" s="10"/>
      <c r="K343" s="3"/>
      <c r="L343" s="3"/>
      <c r="M343" s="3"/>
      <c r="N343" s="3"/>
      <c r="O343" s="3"/>
      <c r="P343" s="3"/>
      <c r="Q343" s="3"/>
      <c r="R343" s="3"/>
      <c r="S343" s="3"/>
      <c r="T343" s="3"/>
      <c r="U343" s="3"/>
      <c r="V343" s="3"/>
      <c r="W343" s="10" t="str">
        <f>IF( J343="s.i", "s.i", IF(ISBLANK(J343),"Actualizando información",IFERROR(J343 / VLOOKUP(A343,Deflactor!$G$3:$H$64,2,0),"Revisar error" )))</f>
        <v>Actualizando información</v>
      </c>
    </row>
    <row r="344" spans="1:23" x14ac:dyDescent="0.25">
      <c r="A344" s="3">
        <v>2008</v>
      </c>
      <c r="B344" s="3" t="s">
        <v>431</v>
      </c>
      <c r="C344" s="3" t="s">
        <v>7</v>
      </c>
      <c r="D344" s="3" t="s">
        <v>54</v>
      </c>
      <c r="E344" s="3" t="s">
        <v>243</v>
      </c>
      <c r="F344" s="3" t="s">
        <v>351</v>
      </c>
      <c r="G344" s="3"/>
      <c r="H344" s="12"/>
      <c r="I344" s="13"/>
      <c r="J344" s="10"/>
      <c r="K344" s="3"/>
      <c r="L344" s="3"/>
      <c r="M344" s="3"/>
      <c r="N344" s="3"/>
      <c r="O344" s="3"/>
      <c r="P344" s="3"/>
      <c r="Q344" s="3"/>
      <c r="R344" s="3"/>
      <c r="S344" s="3"/>
      <c r="T344" s="3"/>
      <c r="U344" s="3"/>
      <c r="V344" s="3"/>
      <c r="W344" s="10" t="str">
        <f>IF( J344="s.i", "s.i", IF(ISBLANK(J344),"Actualizando información",IFERROR(J344 / VLOOKUP(A344,Deflactor!$G$3:$H$64,2,0),"Revisar error" )))</f>
        <v>Actualizando información</v>
      </c>
    </row>
    <row r="345" spans="1:23" x14ac:dyDescent="0.25">
      <c r="A345" s="3">
        <v>2007</v>
      </c>
      <c r="B345" s="3" t="s">
        <v>432</v>
      </c>
      <c r="C345" s="3" t="s">
        <v>155</v>
      </c>
      <c r="D345" s="3" t="s">
        <v>64</v>
      </c>
      <c r="E345" s="3" t="s">
        <v>433</v>
      </c>
      <c r="F345" s="3" t="s">
        <v>157</v>
      </c>
      <c r="G345" s="3"/>
      <c r="H345" s="12"/>
      <c r="I345" s="13"/>
      <c r="J345" s="10"/>
      <c r="K345" s="3"/>
      <c r="L345" s="3"/>
      <c r="M345" s="3"/>
      <c r="N345" s="3"/>
      <c r="O345" s="3"/>
      <c r="P345" s="3"/>
      <c r="Q345" s="3"/>
      <c r="R345" s="3"/>
      <c r="S345" s="3"/>
      <c r="T345" s="3"/>
      <c r="U345" s="3"/>
      <c r="V345" s="3"/>
      <c r="W345" s="10" t="str">
        <f>IF( J345="s.i", "s.i", IF(ISBLANK(J345),"Actualizando información",IFERROR(J345 / VLOOKUP(A345,Deflactor!$G$3:$H$64,2,0),"Revisar error" )))</f>
        <v>Actualizando información</v>
      </c>
    </row>
    <row r="346" spans="1:23" x14ac:dyDescent="0.25">
      <c r="A346" s="3">
        <v>2007</v>
      </c>
      <c r="B346" s="3" t="s">
        <v>434</v>
      </c>
      <c r="C346" s="3" t="s">
        <v>92</v>
      </c>
      <c r="D346" s="3" t="s">
        <v>290</v>
      </c>
      <c r="E346" s="3" t="s">
        <v>120</v>
      </c>
      <c r="F346" s="3" t="s">
        <v>351</v>
      </c>
      <c r="G346" s="3"/>
      <c r="H346" s="12"/>
      <c r="I346" s="13"/>
      <c r="J346" s="10"/>
      <c r="K346" s="3" t="s">
        <v>2190</v>
      </c>
      <c r="L346" s="3"/>
      <c r="M346" s="3"/>
      <c r="N346" s="3"/>
      <c r="O346" s="3"/>
      <c r="P346" s="3"/>
      <c r="Q346" s="3"/>
      <c r="R346" s="3"/>
      <c r="S346" s="3"/>
      <c r="T346" s="3"/>
      <c r="U346" s="3"/>
      <c r="V346" s="3"/>
      <c r="W346" s="10" t="str">
        <f>IF( J346="s.i", "s.i", IF(ISBLANK(J346),"Actualizando información",IFERROR(J346 / VLOOKUP(A346,Deflactor!$G$3:$H$64,2,0),"Revisar error" )))</f>
        <v>Actualizando información</v>
      </c>
    </row>
    <row r="347" spans="1:23" x14ac:dyDescent="0.25">
      <c r="A347" s="3">
        <v>2007</v>
      </c>
      <c r="B347" s="3" t="s">
        <v>435</v>
      </c>
      <c r="C347" s="3" t="s">
        <v>7</v>
      </c>
      <c r="D347" s="3" t="s">
        <v>290</v>
      </c>
      <c r="E347" s="3" t="s">
        <v>291</v>
      </c>
      <c r="F347" s="3" t="s">
        <v>329</v>
      </c>
      <c r="G347" s="3"/>
      <c r="H347" s="12"/>
      <c r="I347" s="13"/>
      <c r="J347" s="10"/>
      <c r="K347" s="3"/>
      <c r="L347" s="3"/>
      <c r="M347" s="3"/>
      <c r="N347" s="3"/>
      <c r="O347" s="3"/>
      <c r="P347" s="3"/>
      <c r="Q347" s="3"/>
      <c r="R347" s="3"/>
      <c r="S347" s="3"/>
      <c r="T347" s="3"/>
      <c r="U347" s="3"/>
      <c r="V347" s="3"/>
      <c r="W347" s="10" t="str">
        <f>IF( J347="s.i", "s.i", IF(ISBLANK(J347),"Actualizando información",IFERROR(J347 / VLOOKUP(A347,Deflactor!$G$3:$H$64,2,0),"Revisar error" )))</f>
        <v>Actualizando información</v>
      </c>
    </row>
    <row r="348" spans="1:23" x14ac:dyDescent="0.25">
      <c r="A348" s="3">
        <v>2007</v>
      </c>
      <c r="B348" s="3" t="s">
        <v>436</v>
      </c>
      <c r="C348" s="3" t="s">
        <v>7</v>
      </c>
      <c r="D348" s="3" t="s">
        <v>48</v>
      </c>
      <c r="E348" s="3" t="s">
        <v>88</v>
      </c>
      <c r="F348" s="3" t="s">
        <v>310</v>
      </c>
      <c r="G348" s="3"/>
      <c r="H348" s="12"/>
      <c r="I348" s="13"/>
      <c r="J348" s="10"/>
      <c r="K348" s="3" t="s">
        <v>2512</v>
      </c>
      <c r="L348" s="3"/>
      <c r="M348" s="3"/>
      <c r="N348" s="3"/>
      <c r="O348" s="3"/>
      <c r="P348" s="3"/>
      <c r="Q348" s="3"/>
      <c r="R348" s="3"/>
      <c r="S348" s="3"/>
      <c r="T348" s="3"/>
      <c r="U348" s="3"/>
      <c r="V348" s="3"/>
      <c r="W348" s="10" t="str">
        <f>IF( J348="s.i", "s.i", IF(ISBLANK(J348),"Actualizando información",IFERROR(J348 / VLOOKUP(A348,Deflactor!$G$3:$H$64,2,0),"Revisar error" )))</f>
        <v>Actualizando información</v>
      </c>
    </row>
    <row r="349" spans="1:23" x14ac:dyDescent="0.25">
      <c r="A349" s="3">
        <v>2007</v>
      </c>
      <c r="B349" s="3" t="s">
        <v>437</v>
      </c>
      <c r="C349" s="3" t="s">
        <v>7</v>
      </c>
      <c r="D349" s="3" t="s">
        <v>48</v>
      </c>
      <c r="E349" s="3" t="s">
        <v>438</v>
      </c>
      <c r="F349" s="3" t="s">
        <v>310</v>
      </c>
      <c r="G349" s="3"/>
      <c r="H349" s="12"/>
      <c r="I349" s="13"/>
      <c r="J349" s="10"/>
      <c r="K349" s="3"/>
      <c r="L349" s="3"/>
      <c r="M349" s="3"/>
      <c r="N349" s="3"/>
      <c r="O349" s="3"/>
      <c r="P349" s="3"/>
      <c r="Q349" s="3"/>
      <c r="R349" s="3"/>
      <c r="S349" s="3"/>
      <c r="T349" s="3"/>
      <c r="U349" s="3"/>
      <c r="V349" s="3"/>
      <c r="W349" s="10" t="str">
        <f>IF( J349="s.i", "s.i", IF(ISBLANK(J349),"Actualizando información",IFERROR(J349 / VLOOKUP(A349,Deflactor!$G$3:$H$64,2,0),"Revisar error" )))</f>
        <v>Actualizando información</v>
      </c>
    </row>
    <row r="350" spans="1:23" x14ac:dyDescent="0.25">
      <c r="A350" s="3">
        <v>2007</v>
      </c>
      <c r="B350" s="3" t="s">
        <v>439</v>
      </c>
      <c r="C350" s="3" t="s">
        <v>7</v>
      </c>
      <c r="D350" s="3" t="s">
        <v>48</v>
      </c>
      <c r="E350" s="3" t="s">
        <v>88</v>
      </c>
      <c r="F350" s="3" t="s">
        <v>310</v>
      </c>
      <c r="G350" s="3"/>
      <c r="H350" s="12"/>
      <c r="I350" s="13"/>
      <c r="J350" s="10"/>
      <c r="K350" s="3"/>
      <c r="L350" s="3"/>
      <c r="M350" s="3"/>
      <c r="N350" s="3"/>
      <c r="O350" s="3"/>
      <c r="P350" s="3"/>
      <c r="Q350" s="3"/>
      <c r="R350" s="3"/>
      <c r="S350" s="3"/>
      <c r="T350" s="3"/>
      <c r="U350" s="3"/>
      <c r="V350" s="3"/>
      <c r="W350" s="10" t="str">
        <f>IF( J350="s.i", "s.i", IF(ISBLANK(J350),"Actualizando información",IFERROR(J350 / VLOOKUP(A350,Deflactor!$G$3:$H$64,2,0),"Revisar error" )))</f>
        <v>Actualizando información</v>
      </c>
    </row>
    <row r="351" spans="1:23" x14ac:dyDescent="0.25">
      <c r="A351" s="3">
        <v>2007</v>
      </c>
      <c r="B351" s="3" t="s">
        <v>440</v>
      </c>
      <c r="C351" s="3" t="s">
        <v>92</v>
      </c>
      <c r="D351" s="3" t="s">
        <v>290</v>
      </c>
      <c r="E351" s="3" t="s">
        <v>120</v>
      </c>
      <c r="F351" s="3" t="s">
        <v>351</v>
      </c>
      <c r="G351" s="3"/>
      <c r="H351" s="12"/>
      <c r="I351" s="13"/>
      <c r="J351" s="10"/>
      <c r="K351" s="3" t="s">
        <v>2190</v>
      </c>
      <c r="L351" s="3"/>
      <c r="M351" s="3"/>
      <c r="N351" s="3"/>
      <c r="O351" s="3"/>
      <c r="P351" s="3"/>
      <c r="Q351" s="3"/>
      <c r="R351" s="3"/>
      <c r="S351" s="3"/>
      <c r="T351" s="3"/>
      <c r="U351" s="3"/>
      <c r="V351" s="3"/>
      <c r="W351" s="10" t="str">
        <f>IF( J351="s.i", "s.i", IF(ISBLANK(J351),"Actualizando información",IFERROR(J351 / VLOOKUP(A351,Deflactor!$G$3:$H$64,2,0),"Revisar error" )))</f>
        <v>Actualizando información</v>
      </c>
    </row>
    <row r="352" spans="1:23" x14ac:dyDescent="0.25">
      <c r="A352" s="3">
        <v>2007</v>
      </c>
      <c r="B352" s="3" t="s">
        <v>441</v>
      </c>
      <c r="C352" s="3" t="s">
        <v>7</v>
      </c>
      <c r="D352" s="3" t="s">
        <v>397</v>
      </c>
      <c r="E352" s="3" t="s">
        <v>442</v>
      </c>
      <c r="F352" s="3" t="s">
        <v>399</v>
      </c>
      <c r="G352" s="3"/>
      <c r="H352" s="12"/>
      <c r="I352" s="13"/>
      <c r="J352" s="10"/>
      <c r="K352" s="3"/>
      <c r="L352" s="3"/>
      <c r="M352" s="3"/>
      <c r="N352" s="3"/>
      <c r="O352" s="3"/>
      <c r="P352" s="3"/>
      <c r="Q352" s="3"/>
      <c r="R352" s="3"/>
      <c r="S352" s="3"/>
      <c r="T352" s="3"/>
      <c r="U352" s="3"/>
      <c r="V352" s="3"/>
      <c r="W352" s="10" t="str">
        <f>IF( J352="s.i", "s.i", IF(ISBLANK(J352),"Actualizando información",IFERROR(J352 / VLOOKUP(A352,Deflactor!$G$3:$H$64,2,0),"Revisar error" )))</f>
        <v>Actualizando información</v>
      </c>
    </row>
    <row r="353" spans="1:23" x14ac:dyDescent="0.25">
      <c r="A353" s="3">
        <v>2007</v>
      </c>
      <c r="B353" s="3" t="s">
        <v>443</v>
      </c>
      <c r="C353" s="3" t="s">
        <v>7</v>
      </c>
      <c r="D353" s="3" t="s">
        <v>444</v>
      </c>
      <c r="E353" s="3" t="s">
        <v>445</v>
      </c>
      <c r="F353" s="3" t="s">
        <v>329</v>
      </c>
      <c r="G353" s="3"/>
      <c r="H353" s="12"/>
      <c r="I353" s="13"/>
      <c r="J353" s="10"/>
      <c r="K353" s="3"/>
      <c r="L353" s="3"/>
      <c r="M353" s="3"/>
      <c r="N353" s="3"/>
      <c r="O353" s="3"/>
      <c r="P353" s="3"/>
      <c r="Q353" s="3"/>
      <c r="R353" s="3"/>
      <c r="S353" s="3"/>
      <c r="T353" s="3"/>
      <c r="U353" s="3"/>
      <c r="V353" s="3"/>
      <c r="W353" s="10" t="str">
        <f>IF( J353="s.i", "s.i", IF(ISBLANK(J353),"Actualizando información",IFERROR(J353 / VLOOKUP(A353,Deflactor!$G$3:$H$64,2,0),"Revisar error" )))</f>
        <v>Actualizando información</v>
      </c>
    </row>
    <row r="354" spans="1:23" x14ac:dyDescent="0.25">
      <c r="A354" s="3">
        <v>2007</v>
      </c>
      <c r="B354" s="3" t="s">
        <v>446</v>
      </c>
      <c r="C354" s="3" t="s">
        <v>7</v>
      </c>
      <c r="D354" s="3" t="s">
        <v>32</v>
      </c>
      <c r="E354" s="3" t="s">
        <v>33</v>
      </c>
      <c r="F354" s="3" t="s">
        <v>351</v>
      </c>
      <c r="G354" s="3"/>
      <c r="H354" s="12"/>
      <c r="I354" s="13"/>
      <c r="J354" s="10"/>
      <c r="K354" s="3"/>
      <c r="L354" s="3"/>
      <c r="M354" s="3"/>
      <c r="N354" s="3"/>
      <c r="O354" s="3"/>
      <c r="P354" s="3"/>
      <c r="Q354" s="3"/>
      <c r="R354" s="3"/>
      <c r="S354" s="3"/>
      <c r="T354" s="3"/>
      <c r="U354" s="3"/>
      <c r="V354" s="3"/>
      <c r="W354" s="10" t="str">
        <f>IF( J354="s.i", "s.i", IF(ISBLANK(J354),"Actualizando información",IFERROR(J354 / VLOOKUP(A354,Deflactor!$G$3:$H$64,2,0),"Revisar error" )))</f>
        <v>Actualizando información</v>
      </c>
    </row>
    <row r="355" spans="1:23" x14ac:dyDescent="0.25">
      <c r="A355" s="3">
        <v>2007</v>
      </c>
      <c r="B355" s="3" t="s">
        <v>447</v>
      </c>
      <c r="C355" s="3" t="s">
        <v>7</v>
      </c>
      <c r="D355" s="3" t="s">
        <v>8</v>
      </c>
      <c r="E355" s="3" t="s">
        <v>156</v>
      </c>
      <c r="F355" s="3" t="s">
        <v>351</v>
      </c>
      <c r="G355" s="3"/>
      <c r="H355" s="12"/>
      <c r="I355" s="13"/>
      <c r="J355" s="10"/>
      <c r="K355" s="3"/>
      <c r="L355" s="3"/>
      <c r="M355" s="3"/>
      <c r="N355" s="3"/>
      <c r="O355" s="3"/>
      <c r="P355" s="3"/>
      <c r="Q355" s="3"/>
      <c r="R355" s="3"/>
      <c r="S355" s="3"/>
      <c r="T355" s="3"/>
      <c r="U355" s="3"/>
      <c r="V355" s="3"/>
      <c r="W355" s="10" t="str">
        <f>IF( J355="s.i", "s.i", IF(ISBLANK(J355),"Actualizando información",IFERROR(J355 / VLOOKUP(A355,Deflactor!$G$3:$H$64,2,0),"Revisar error" )))</f>
        <v>Actualizando información</v>
      </c>
    </row>
    <row r="356" spans="1:23" x14ac:dyDescent="0.25">
      <c r="A356" s="3">
        <v>2007</v>
      </c>
      <c r="B356" s="3" t="s">
        <v>448</v>
      </c>
      <c r="C356" s="3" t="s">
        <v>92</v>
      </c>
      <c r="D356" s="3" t="s">
        <v>8</v>
      </c>
      <c r="E356" s="3" t="s">
        <v>51</v>
      </c>
      <c r="F356" s="3" t="s">
        <v>329</v>
      </c>
      <c r="G356" s="3"/>
      <c r="H356" s="12"/>
      <c r="I356" s="13"/>
      <c r="J356" s="10"/>
      <c r="K356" s="3" t="s">
        <v>2190</v>
      </c>
      <c r="L356" s="3"/>
      <c r="M356" s="3"/>
      <c r="N356" s="3"/>
      <c r="O356" s="3"/>
      <c r="P356" s="3"/>
      <c r="Q356" s="3"/>
      <c r="R356" s="3"/>
      <c r="S356" s="3"/>
      <c r="T356" s="3"/>
      <c r="U356" s="3"/>
      <c r="V356" s="3"/>
      <c r="W356" s="10" t="str">
        <f>IF( J356="s.i", "s.i", IF(ISBLANK(J356),"Actualizando información",IFERROR(J356 / VLOOKUP(A356,Deflactor!$G$3:$H$64,2,0),"Revisar error" )))</f>
        <v>Actualizando información</v>
      </c>
    </row>
    <row r="357" spans="1:23" x14ac:dyDescent="0.25">
      <c r="A357" s="3">
        <v>2007</v>
      </c>
      <c r="B357" s="3" t="s">
        <v>449</v>
      </c>
      <c r="C357" s="3" t="s">
        <v>92</v>
      </c>
      <c r="D357" s="3" t="s">
        <v>8</v>
      </c>
      <c r="E357" s="3" t="s">
        <v>51</v>
      </c>
      <c r="F357" s="3" t="s">
        <v>310</v>
      </c>
      <c r="G357" s="3"/>
      <c r="H357" s="12"/>
      <c r="I357" s="13"/>
      <c r="J357" s="10"/>
      <c r="K357" s="3" t="s">
        <v>2190</v>
      </c>
      <c r="L357" s="3"/>
      <c r="M357" s="3"/>
      <c r="N357" s="3"/>
      <c r="O357" s="3"/>
      <c r="P357" s="3"/>
      <c r="Q357" s="3"/>
      <c r="R357" s="3"/>
      <c r="S357" s="3"/>
      <c r="T357" s="3"/>
      <c r="U357" s="3"/>
      <c r="V357" s="3"/>
      <c r="W357" s="10" t="str">
        <f>IF( J357="s.i", "s.i", IF(ISBLANK(J357),"Actualizando información",IFERROR(J357 / VLOOKUP(A357,Deflactor!$G$3:$H$64,2,0),"Revisar error" )))</f>
        <v>Actualizando información</v>
      </c>
    </row>
    <row r="358" spans="1:23" x14ac:dyDescent="0.25">
      <c r="A358" s="3">
        <v>2007</v>
      </c>
      <c r="B358" s="3" t="s">
        <v>450</v>
      </c>
      <c r="C358" s="3" t="s">
        <v>92</v>
      </c>
      <c r="D358" s="3" t="s">
        <v>8</v>
      </c>
      <c r="E358" s="3" t="s">
        <v>51</v>
      </c>
      <c r="F358" s="3" t="s">
        <v>329</v>
      </c>
      <c r="G358" s="3"/>
      <c r="H358" s="12"/>
      <c r="I358" s="13"/>
      <c r="J358" s="10"/>
      <c r="K358" s="3" t="s">
        <v>2190</v>
      </c>
      <c r="L358" s="3"/>
      <c r="M358" s="3"/>
      <c r="N358" s="3"/>
      <c r="O358" s="3"/>
      <c r="P358" s="3"/>
      <c r="Q358" s="3"/>
      <c r="R358" s="3"/>
      <c r="S358" s="3"/>
      <c r="T358" s="3"/>
      <c r="U358" s="3"/>
      <c r="V358" s="3"/>
      <c r="W358" s="10" t="str">
        <f>IF( J358="s.i", "s.i", IF(ISBLANK(J358),"Actualizando información",IFERROR(J358 / VLOOKUP(A358,Deflactor!$G$3:$H$64,2,0),"Revisar error" )))</f>
        <v>Actualizando información</v>
      </c>
    </row>
    <row r="359" spans="1:23" x14ac:dyDescent="0.25">
      <c r="A359" s="3">
        <v>2007</v>
      </c>
      <c r="B359" s="3" t="s">
        <v>451</v>
      </c>
      <c r="C359" s="3" t="s">
        <v>92</v>
      </c>
      <c r="D359" s="3" t="s">
        <v>8</v>
      </c>
      <c r="E359" s="3" t="s">
        <v>51</v>
      </c>
      <c r="F359" s="3" t="s">
        <v>308</v>
      </c>
      <c r="G359" s="3"/>
      <c r="H359" s="12"/>
      <c r="I359" s="13"/>
      <c r="J359" s="10"/>
      <c r="K359" s="3" t="s">
        <v>2190</v>
      </c>
      <c r="L359" s="3"/>
      <c r="M359" s="3"/>
      <c r="N359" s="3"/>
      <c r="O359" s="3"/>
      <c r="P359" s="3"/>
      <c r="Q359" s="3"/>
      <c r="R359" s="3"/>
      <c r="S359" s="3"/>
      <c r="T359" s="3"/>
      <c r="U359" s="3"/>
      <c r="V359" s="3"/>
      <c r="W359" s="10" t="str">
        <f>IF( J359="s.i", "s.i", IF(ISBLANK(J359),"Actualizando información",IFERROR(J359 / VLOOKUP(A359,Deflactor!$G$3:$H$64,2,0),"Revisar error" )))</f>
        <v>Actualizando información</v>
      </c>
    </row>
    <row r="360" spans="1:23" x14ac:dyDescent="0.25">
      <c r="A360" s="3">
        <v>2007</v>
      </c>
      <c r="B360" s="3" t="s">
        <v>452</v>
      </c>
      <c r="C360" s="3" t="s">
        <v>7</v>
      </c>
      <c r="D360" s="3" t="s">
        <v>71</v>
      </c>
      <c r="E360" s="3" t="s">
        <v>167</v>
      </c>
      <c r="F360" s="3" t="s">
        <v>329</v>
      </c>
      <c r="G360" s="3"/>
      <c r="H360" s="12"/>
      <c r="I360" s="13"/>
      <c r="J360" s="10"/>
      <c r="K360" s="3"/>
      <c r="L360" s="3"/>
      <c r="M360" s="3"/>
      <c r="N360" s="3"/>
      <c r="O360" s="3"/>
      <c r="P360" s="3"/>
      <c r="Q360" s="3"/>
      <c r="R360" s="3"/>
      <c r="S360" s="3"/>
      <c r="T360" s="3"/>
      <c r="U360" s="3"/>
      <c r="V360" s="3"/>
      <c r="W360" s="10" t="str">
        <f>IF( J360="s.i", "s.i", IF(ISBLANK(J360),"Actualizando información",IFERROR(J360 / VLOOKUP(A360,Deflactor!$G$3:$H$64,2,0),"Revisar error" )))</f>
        <v>Actualizando información</v>
      </c>
    </row>
    <row r="361" spans="1:23" x14ac:dyDescent="0.25">
      <c r="A361" s="3">
        <v>2007</v>
      </c>
      <c r="B361" s="3" t="s">
        <v>453</v>
      </c>
      <c r="C361" s="3" t="s">
        <v>92</v>
      </c>
      <c r="D361" s="3" t="s">
        <v>25</v>
      </c>
      <c r="E361" s="3" t="s">
        <v>29</v>
      </c>
      <c r="F361" s="3" t="s">
        <v>310</v>
      </c>
      <c r="G361" s="3"/>
      <c r="H361" s="12"/>
      <c r="I361" s="13"/>
      <c r="J361" s="10"/>
      <c r="K361" s="3" t="s">
        <v>2190</v>
      </c>
      <c r="L361" s="3"/>
      <c r="M361" s="3"/>
      <c r="N361" s="3"/>
      <c r="O361" s="3"/>
      <c r="P361" s="3"/>
      <c r="Q361" s="3"/>
      <c r="R361" s="3"/>
      <c r="S361" s="3"/>
      <c r="T361" s="3"/>
      <c r="U361" s="3"/>
      <c r="V361" s="3"/>
      <c r="W361" s="10" t="str">
        <f>IF( J361="s.i", "s.i", IF(ISBLANK(J361),"Actualizando información",IFERROR(J361 / VLOOKUP(A361,Deflactor!$G$3:$H$64,2,0),"Revisar error" )))</f>
        <v>Actualizando información</v>
      </c>
    </row>
    <row r="362" spans="1:23" x14ac:dyDescent="0.25">
      <c r="A362" s="3">
        <v>2007</v>
      </c>
      <c r="B362" s="3" t="s">
        <v>454</v>
      </c>
      <c r="C362" s="3" t="s">
        <v>92</v>
      </c>
      <c r="D362" s="3" t="s">
        <v>25</v>
      </c>
      <c r="E362" s="3" t="s">
        <v>29</v>
      </c>
      <c r="F362" s="3" t="s">
        <v>329</v>
      </c>
      <c r="G362" s="3"/>
      <c r="H362" s="12"/>
      <c r="I362" s="13"/>
      <c r="J362" s="10"/>
      <c r="K362" s="3" t="s">
        <v>2190</v>
      </c>
      <c r="L362" s="3"/>
      <c r="M362" s="3"/>
      <c r="N362" s="3"/>
      <c r="O362" s="3"/>
      <c r="P362" s="3"/>
      <c r="Q362" s="3"/>
      <c r="R362" s="3"/>
      <c r="S362" s="3"/>
      <c r="T362" s="3"/>
      <c r="U362" s="3"/>
      <c r="V362" s="3"/>
      <c r="W362" s="10" t="str">
        <f>IF( J362="s.i", "s.i", IF(ISBLANK(J362),"Actualizando información",IFERROR(J362 / VLOOKUP(A362,Deflactor!$G$3:$H$64,2,0),"Revisar error" )))</f>
        <v>Actualizando información</v>
      </c>
    </row>
    <row r="363" spans="1:23" x14ac:dyDescent="0.25">
      <c r="A363" s="3">
        <v>2007</v>
      </c>
      <c r="B363" s="3" t="s">
        <v>455</v>
      </c>
      <c r="C363" s="3" t="s">
        <v>92</v>
      </c>
      <c r="D363" s="3" t="s">
        <v>216</v>
      </c>
      <c r="E363" s="3" t="s">
        <v>456</v>
      </c>
      <c r="F363" s="3" t="s">
        <v>351</v>
      </c>
      <c r="G363" s="3"/>
      <c r="H363" s="12"/>
      <c r="I363" s="13"/>
      <c r="J363" s="10"/>
      <c r="K363" s="3"/>
      <c r="L363" s="3"/>
      <c r="M363" s="3"/>
      <c r="N363" s="3"/>
      <c r="O363" s="3"/>
      <c r="P363" s="3"/>
      <c r="Q363" s="3"/>
      <c r="R363" s="3"/>
      <c r="S363" s="3"/>
      <c r="T363" s="3"/>
      <c r="U363" s="3"/>
      <c r="V363" s="3"/>
      <c r="W363" s="10" t="str">
        <f>IF( J363="s.i", "s.i", IF(ISBLANK(J363),"Actualizando información",IFERROR(J363 / VLOOKUP(A363,Deflactor!$G$3:$H$64,2,0),"Revisar error" )))</f>
        <v>Actualizando información</v>
      </c>
    </row>
    <row r="364" spans="1:23" x14ac:dyDescent="0.25">
      <c r="A364" s="3">
        <v>2007</v>
      </c>
      <c r="B364" s="3" t="s">
        <v>457</v>
      </c>
      <c r="C364" s="3" t="s">
        <v>92</v>
      </c>
      <c r="D364" s="3" t="s">
        <v>36</v>
      </c>
      <c r="E364" s="3" t="s">
        <v>37</v>
      </c>
      <c r="F364" s="3" t="s">
        <v>399</v>
      </c>
      <c r="G364" s="3"/>
      <c r="H364" s="12"/>
      <c r="I364" s="13"/>
      <c r="J364" s="10"/>
      <c r="K364" s="3"/>
      <c r="L364" s="3"/>
      <c r="M364" s="3"/>
      <c r="N364" s="3"/>
      <c r="O364" s="3"/>
      <c r="P364" s="3"/>
      <c r="Q364" s="3"/>
      <c r="R364" s="3"/>
      <c r="S364" s="3"/>
      <c r="T364" s="3"/>
      <c r="U364" s="3"/>
      <c r="V364" s="3"/>
      <c r="W364" s="10" t="str">
        <f>IF( J364="s.i", "s.i", IF(ISBLANK(J364),"Actualizando información",IFERROR(J364 / VLOOKUP(A364,Deflactor!$G$3:$H$64,2,0),"Revisar error" )))</f>
        <v>Actualizando información</v>
      </c>
    </row>
    <row r="365" spans="1:23" x14ac:dyDescent="0.25">
      <c r="A365" s="3">
        <v>2007</v>
      </c>
      <c r="B365" s="3" t="s">
        <v>458</v>
      </c>
      <c r="C365" s="3" t="s">
        <v>92</v>
      </c>
      <c r="D365" s="3" t="s">
        <v>36</v>
      </c>
      <c r="E365" s="3" t="s">
        <v>37</v>
      </c>
      <c r="F365" s="3" t="s">
        <v>399</v>
      </c>
      <c r="G365" s="3"/>
      <c r="H365" s="12"/>
      <c r="I365" s="13"/>
      <c r="J365" s="10"/>
      <c r="K365" s="3"/>
      <c r="L365" s="3"/>
      <c r="M365" s="3"/>
      <c r="N365" s="3"/>
      <c r="O365" s="3"/>
      <c r="P365" s="3"/>
      <c r="Q365" s="3"/>
      <c r="R365" s="3"/>
      <c r="S365" s="3"/>
      <c r="T365" s="3"/>
      <c r="U365" s="3"/>
      <c r="V365" s="3"/>
      <c r="W365" s="10" t="str">
        <f>IF( J365="s.i", "s.i", IF(ISBLANK(J365),"Actualizando información",IFERROR(J365 / VLOOKUP(A365,Deflactor!$G$3:$H$64,2,0),"Revisar error" )))</f>
        <v>Actualizando información</v>
      </c>
    </row>
    <row r="366" spans="1:23" x14ac:dyDescent="0.25">
      <c r="A366" s="3">
        <v>2007</v>
      </c>
      <c r="B366" s="3" t="s">
        <v>459</v>
      </c>
      <c r="C366" s="3" t="s">
        <v>155</v>
      </c>
      <c r="D366" s="3" t="s">
        <v>36</v>
      </c>
      <c r="E366" s="3" t="s">
        <v>37</v>
      </c>
      <c r="F366" s="3" t="s">
        <v>157</v>
      </c>
      <c r="G366" s="3"/>
      <c r="H366" s="12"/>
      <c r="I366" s="13"/>
      <c r="J366" s="10"/>
      <c r="K366" s="3"/>
      <c r="L366" s="3"/>
      <c r="M366" s="3"/>
      <c r="N366" s="3"/>
      <c r="O366" s="3"/>
      <c r="P366" s="3"/>
      <c r="Q366" s="3"/>
      <c r="R366" s="3"/>
      <c r="S366" s="3"/>
      <c r="T366" s="3"/>
      <c r="U366" s="3"/>
      <c r="V366" s="3"/>
      <c r="W366" s="10" t="str">
        <f>IF( J366="s.i", "s.i", IF(ISBLANK(J366),"Actualizando información",IFERROR(J366 / VLOOKUP(A366,Deflactor!$G$3:$H$64,2,0),"Revisar error" )))</f>
        <v>Actualizando información</v>
      </c>
    </row>
    <row r="367" spans="1:23" x14ac:dyDescent="0.25">
      <c r="A367" s="3">
        <v>2007</v>
      </c>
      <c r="B367" s="3" t="s">
        <v>460</v>
      </c>
      <c r="C367" s="3" t="s">
        <v>155</v>
      </c>
      <c r="D367" s="3" t="s">
        <v>36</v>
      </c>
      <c r="E367" s="3" t="s">
        <v>37</v>
      </c>
      <c r="F367" s="3" t="s">
        <v>157</v>
      </c>
      <c r="G367" s="3"/>
      <c r="H367" s="12"/>
      <c r="I367" s="13"/>
      <c r="J367" s="10"/>
      <c r="K367" s="3"/>
      <c r="L367" s="3"/>
      <c r="M367" s="3"/>
      <c r="N367" s="3"/>
      <c r="O367" s="3"/>
      <c r="P367" s="3"/>
      <c r="Q367" s="3"/>
      <c r="R367" s="3"/>
      <c r="S367" s="3"/>
      <c r="T367" s="3"/>
      <c r="U367" s="3"/>
      <c r="V367" s="3"/>
      <c r="W367" s="10" t="str">
        <f>IF( J367="s.i", "s.i", IF(ISBLANK(J367),"Actualizando información",IFERROR(J367 / VLOOKUP(A367,Deflactor!$G$3:$H$64,2,0),"Revisar error" )))</f>
        <v>Actualizando información</v>
      </c>
    </row>
    <row r="368" spans="1:23" x14ac:dyDescent="0.25">
      <c r="A368" s="3">
        <v>2007</v>
      </c>
      <c r="B368" s="3" t="s">
        <v>461</v>
      </c>
      <c r="C368" s="3" t="s">
        <v>7</v>
      </c>
      <c r="D368" s="3" t="s">
        <v>36</v>
      </c>
      <c r="E368" s="3" t="s">
        <v>37</v>
      </c>
      <c r="F368" s="3" t="s">
        <v>310</v>
      </c>
      <c r="G368" s="3"/>
      <c r="H368" s="12"/>
      <c r="I368" s="13"/>
      <c r="J368" s="10"/>
      <c r="K368" s="3"/>
      <c r="L368" s="3"/>
      <c r="M368" s="3"/>
      <c r="N368" s="3"/>
      <c r="O368" s="3"/>
      <c r="P368" s="3"/>
      <c r="Q368" s="3"/>
      <c r="R368" s="3"/>
      <c r="S368" s="3"/>
      <c r="T368" s="3"/>
      <c r="U368" s="3"/>
      <c r="V368" s="3"/>
      <c r="W368" s="10" t="str">
        <f>IF( J368="s.i", "s.i", IF(ISBLANK(J368),"Actualizando información",IFERROR(J368 / VLOOKUP(A368,Deflactor!$G$3:$H$64,2,0),"Revisar error" )))</f>
        <v>Actualizando información</v>
      </c>
    </row>
    <row r="369" spans="1:23" x14ac:dyDescent="0.25">
      <c r="A369" s="3">
        <v>2007</v>
      </c>
      <c r="B369" s="3" t="s">
        <v>462</v>
      </c>
      <c r="C369" s="3" t="s">
        <v>7</v>
      </c>
      <c r="D369" s="3" t="s">
        <v>36</v>
      </c>
      <c r="E369" s="3" t="s">
        <v>37</v>
      </c>
      <c r="F369" s="3" t="s">
        <v>310</v>
      </c>
      <c r="G369" s="3"/>
      <c r="H369" s="12"/>
      <c r="I369" s="13"/>
      <c r="J369" s="10"/>
      <c r="K369" s="3"/>
      <c r="L369" s="3"/>
      <c r="M369" s="3"/>
      <c r="N369" s="3"/>
      <c r="O369" s="3"/>
      <c r="P369" s="3"/>
      <c r="Q369" s="3"/>
      <c r="R369" s="3"/>
      <c r="S369" s="3"/>
      <c r="T369" s="3"/>
      <c r="U369" s="3"/>
      <c r="V369" s="3"/>
      <c r="W369" s="10" t="str">
        <f>IF( J369="s.i", "s.i", IF(ISBLANK(J369),"Actualizando información",IFERROR(J369 / VLOOKUP(A369,Deflactor!$G$3:$H$64,2,0),"Revisar error" )))</f>
        <v>Actualizando información</v>
      </c>
    </row>
    <row r="370" spans="1:23" x14ac:dyDescent="0.25">
      <c r="A370" s="3">
        <v>2007</v>
      </c>
      <c r="B370" s="3" t="s">
        <v>463</v>
      </c>
      <c r="C370" s="3" t="s">
        <v>155</v>
      </c>
      <c r="D370" s="3" t="s">
        <v>36</v>
      </c>
      <c r="E370" s="3" t="s">
        <v>98</v>
      </c>
      <c r="F370" s="3" t="s">
        <v>157</v>
      </c>
      <c r="G370" s="3"/>
      <c r="H370" s="12"/>
      <c r="I370" s="13"/>
      <c r="J370" s="10"/>
      <c r="K370" s="3"/>
      <c r="L370" s="3"/>
      <c r="M370" s="3"/>
      <c r="N370" s="3"/>
      <c r="O370" s="3"/>
      <c r="P370" s="3"/>
      <c r="Q370" s="3"/>
      <c r="R370" s="3"/>
      <c r="S370" s="3"/>
      <c r="T370" s="3"/>
      <c r="U370" s="3"/>
      <c r="V370" s="3"/>
      <c r="W370" s="10" t="str">
        <f>IF( J370="s.i", "s.i", IF(ISBLANK(J370),"Actualizando información",IFERROR(J370 / VLOOKUP(A370,Deflactor!$G$3:$H$64,2,0),"Revisar error" )))</f>
        <v>Actualizando información</v>
      </c>
    </row>
    <row r="371" spans="1:23" x14ac:dyDescent="0.25">
      <c r="A371" s="3">
        <v>2007</v>
      </c>
      <c r="B371" s="3" t="s">
        <v>464</v>
      </c>
      <c r="C371" s="3" t="s">
        <v>7</v>
      </c>
      <c r="D371" s="3" t="s">
        <v>40</v>
      </c>
      <c r="E371" s="3" t="s">
        <v>43</v>
      </c>
      <c r="F371" s="3" t="s">
        <v>310</v>
      </c>
      <c r="G371" s="3"/>
      <c r="H371" s="12"/>
      <c r="I371" s="13"/>
      <c r="J371" s="10"/>
      <c r="K371" s="3"/>
      <c r="L371" s="3"/>
      <c r="M371" s="3"/>
      <c r="N371" s="3"/>
      <c r="O371" s="3"/>
      <c r="P371" s="3"/>
      <c r="Q371" s="3"/>
      <c r="R371" s="3"/>
      <c r="S371" s="3"/>
      <c r="T371" s="3"/>
      <c r="U371" s="3"/>
      <c r="V371" s="3"/>
      <c r="W371" s="10" t="str">
        <f>IF( J371="s.i", "s.i", IF(ISBLANK(J371),"Actualizando información",IFERROR(J371 / VLOOKUP(A371,Deflactor!$G$3:$H$64,2,0),"Revisar error" )))</f>
        <v>Actualizando información</v>
      </c>
    </row>
    <row r="372" spans="1:23" x14ac:dyDescent="0.25">
      <c r="A372" s="3">
        <v>2007</v>
      </c>
      <c r="B372" s="3" t="s">
        <v>465</v>
      </c>
      <c r="C372" s="3" t="s">
        <v>7</v>
      </c>
      <c r="D372" s="3" t="s">
        <v>71</v>
      </c>
      <c r="E372" s="3" t="s">
        <v>167</v>
      </c>
      <c r="F372" s="3" t="s">
        <v>310</v>
      </c>
      <c r="G372" s="3"/>
      <c r="H372" s="12"/>
      <c r="I372" s="13"/>
      <c r="J372" s="10"/>
      <c r="K372" s="3"/>
      <c r="L372" s="3"/>
      <c r="M372" s="3"/>
      <c r="N372" s="3"/>
      <c r="O372" s="3"/>
      <c r="P372" s="3"/>
      <c r="Q372" s="3"/>
      <c r="R372" s="3"/>
      <c r="S372" s="3"/>
      <c r="T372" s="3"/>
      <c r="U372" s="3"/>
      <c r="V372" s="3"/>
      <c r="W372" s="10" t="str">
        <f>IF( J372="s.i", "s.i", IF(ISBLANK(J372),"Actualizando información",IFERROR(J372 / VLOOKUP(A372,Deflactor!$G$3:$H$64,2,0),"Revisar error" )))</f>
        <v>Actualizando información</v>
      </c>
    </row>
    <row r="373" spans="1:23" x14ac:dyDescent="0.25">
      <c r="A373" s="3">
        <v>2007</v>
      </c>
      <c r="B373" s="3" t="s">
        <v>466</v>
      </c>
      <c r="C373" s="3" t="s">
        <v>92</v>
      </c>
      <c r="D373" s="3" t="s">
        <v>8</v>
      </c>
      <c r="E373" s="3" t="s">
        <v>51</v>
      </c>
      <c r="F373" s="3" t="s">
        <v>310</v>
      </c>
      <c r="G373" s="3"/>
      <c r="H373" s="12"/>
      <c r="I373" s="13"/>
      <c r="J373" s="10"/>
      <c r="K373" s="3" t="s">
        <v>2190</v>
      </c>
      <c r="L373" s="3"/>
      <c r="M373" s="3"/>
      <c r="N373" s="3"/>
      <c r="O373" s="3"/>
      <c r="P373" s="3"/>
      <c r="Q373" s="3"/>
      <c r="R373" s="3"/>
      <c r="S373" s="3"/>
      <c r="T373" s="3"/>
      <c r="U373" s="3"/>
      <c r="V373" s="3"/>
      <c r="W373" s="10" t="str">
        <f>IF( J373="s.i", "s.i", IF(ISBLANK(J373),"Actualizando información",IFERROR(J373 / VLOOKUP(A373,Deflactor!$G$3:$H$64,2,0),"Revisar error" )))</f>
        <v>Actualizando información</v>
      </c>
    </row>
    <row r="374" spans="1:23" x14ac:dyDescent="0.25">
      <c r="A374" s="3">
        <v>2007</v>
      </c>
      <c r="B374" s="3" t="s">
        <v>467</v>
      </c>
      <c r="C374" s="3" t="s">
        <v>92</v>
      </c>
      <c r="D374" s="3" t="s">
        <v>8</v>
      </c>
      <c r="E374" s="3" t="s">
        <v>51</v>
      </c>
      <c r="F374" s="3" t="s">
        <v>329</v>
      </c>
      <c r="G374" s="3"/>
      <c r="H374" s="12"/>
      <c r="I374" s="13"/>
      <c r="J374" s="10"/>
      <c r="K374" s="3" t="s">
        <v>2190</v>
      </c>
      <c r="L374" s="3"/>
      <c r="M374" s="3"/>
      <c r="N374" s="3"/>
      <c r="O374" s="3"/>
      <c r="P374" s="3"/>
      <c r="Q374" s="3"/>
      <c r="R374" s="3"/>
      <c r="S374" s="3"/>
      <c r="T374" s="3"/>
      <c r="U374" s="3"/>
      <c r="V374" s="3"/>
      <c r="W374" s="10" t="str">
        <f>IF( J374="s.i", "s.i", IF(ISBLANK(J374),"Actualizando información",IFERROR(J374 / VLOOKUP(A374,Deflactor!$G$3:$H$64,2,0),"Revisar error" )))</f>
        <v>Actualizando información</v>
      </c>
    </row>
    <row r="375" spans="1:23" x14ac:dyDescent="0.25">
      <c r="A375" s="3">
        <v>2007</v>
      </c>
      <c r="B375" s="3" t="s">
        <v>468</v>
      </c>
      <c r="C375" s="3" t="s">
        <v>92</v>
      </c>
      <c r="D375" s="3" t="s">
        <v>64</v>
      </c>
      <c r="E375" s="3" t="s">
        <v>65</v>
      </c>
      <c r="F375" s="3" t="s">
        <v>399</v>
      </c>
      <c r="G375" s="3"/>
      <c r="H375" s="12"/>
      <c r="I375" s="13"/>
      <c r="J375" s="10"/>
      <c r="K375" s="3"/>
      <c r="L375" s="3"/>
      <c r="M375" s="3"/>
      <c r="N375" s="3"/>
      <c r="O375" s="3"/>
      <c r="P375" s="3"/>
      <c r="Q375" s="3"/>
      <c r="R375" s="3"/>
      <c r="S375" s="3"/>
      <c r="T375" s="3"/>
      <c r="U375" s="3"/>
      <c r="V375" s="3"/>
      <c r="W375" s="10" t="str">
        <f>IF( J375="s.i", "s.i", IF(ISBLANK(J375),"Actualizando información",IFERROR(J375 / VLOOKUP(A375,Deflactor!$G$3:$H$64,2,0),"Revisar error" )))</f>
        <v>Actualizando información</v>
      </c>
    </row>
    <row r="376" spans="1:23" x14ac:dyDescent="0.25">
      <c r="A376" s="3">
        <v>2007</v>
      </c>
      <c r="B376" s="3" t="s">
        <v>469</v>
      </c>
      <c r="C376" s="3" t="s">
        <v>7</v>
      </c>
      <c r="D376" s="3" t="s">
        <v>64</v>
      </c>
      <c r="E376" s="3" t="s">
        <v>65</v>
      </c>
      <c r="F376" s="3" t="s">
        <v>308</v>
      </c>
      <c r="G376" s="3"/>
      <c r="H376" s="12"/>
      <c r="I376" s="13"/>
      <c r="J376" s="10"/>
      <c r="K376" s="3"/>
      <c r="L376" s="3"/>
      <c r="M376" s="3"/>
      <c r="N376" s="3"/>
      <c r="O376" s="3"/>
      <c r="P376" s="3"/>
      <c r="Q376" s="3"/>
      <c r="R376" s="3"/>
      <c r="S376" s="3"/>
      <c r="T376" s="3"/>
      <c r="U376" s="3"/>
      <c r="V376" s="3"/>
      <c r="W376" s="10" t="str">
        <f>IF( J376="s.i", "s.i", IF(ISBLANK(J376),"Actualizando información",IFERROR(J376 / VLOOKUP(A376,Deflactor!$G$3:$H$64,2,0),"Revisar error" )))</f>
        <v>Actualizando información</v>
      </c>
    </row>
    <row r="377" spans="1:23" x14ac:dyDescent="0.25">
      <c r="A377" s="3">
        <v>2006</v>
      </c>
      <c r="B377" s="3" t="s">
        <v>470</v>
      </c>
      <c r="C377" s="3" t="s">
        <v>7</v>
      </c>
      <c r="D377" s="3" t="s">
        <v>12</v>
      </c>
      <c r="E377" s="3" t="s">
        <v>471</v>
      </c>
      <c r="F377" s="3" t="s">
        <v>329</v>
      </c>
      <c r="G377" s="3"/>
      <c r="H377" s="12"/>
      <c r="I377" s="13"/>
      <c r="J377" s="10"/>
      <c r="K377" s="3"/>
      <c r="L377" s="3"/>
      <c r="M377" s="3"/>
      <c r="N377" s="3"/>
      <c r="O377" s="3"/>
      <c r="P377" s="3"/>
      <c r="Q377" s="3"/>
      <c r="R377" s="3"/>
      <c r="S377" s="3"/>
      <c r="T377" s="3"/>
      <c r="U377" s="3"/>
      <c r="V377" s="3"/>
      <c r="W377" s="10" t="str">
        <f>IF( J377="s.i", "s.i", IF(ISBLANK(J377),"Actualizando información",IFERROR(J377 / VLOOKUP(A377,Deflactor!$G$3:$H$64,2,0),"Revisar error" )))</f>
        <v>Actualizando información</v>
      </c>
    </row>
    <row r="378" spans="1:23" x14ac:dyDescent="0.25">
      <c r="A378" s="3">
        <v>2006</v>
      </c>
      <c r="B378" s="3" t="s">
        <v>472</v>
      </c>
      <c r="C378" s="3" t="s">
        <v>7</v>
      </c>
      <c r="D378" s="3" t="s">
        <v>45</v>
      </c>
      <c r="E378" s="3" t="s">
        <v>184</v>
      </c>
      <c r="F378" s="3" t="s">
        <v>351</v>
      </c>
      <c r="G378" s="3"/>
      <c r="H378" s="12"/>
      <c r="I378" s="13"/>
      <c r="J378" s="10"/>
      <c r="K378" s="3" t="s">
        <v>2300</v>
      </c>
      <c r="L378" s="3"/>
      <c r="M378" s="3"/>
      <c r="N378" s="3"/>
      <c r="O378" s="3"/>
      <c r="P378" s="3"/>
      <c r="Q378" s="3"/>
      <c r="R378" s="3"/>
      <c r="S378" s="3"/>
      <c r="T378" s="3"/>
      <c r="U378" s="3"/>
      <c r="V378" s="3"/>
      <c r="W378" s="10" t="str">
        <f>IF( J378="s.i", "s.i", IF(ISBLANK(J378),"Actualizando información",IFERROR(J378 / VLOOKUP(A378,Deflactor!$G$3:$H$64,2,0),"Revisar error" )))</f>
        <v>Actualizando información</v>
      </c>
    </row>
    <row r="379" spans="1:23" x14ac:dyDescent="0.25">
      <c r="A379" s="3">
        <v>2006</v>
      </c>
      <c r="B379" s="3" t="s">
        <v>473</v>
      </c>
      <c r="C379" s="3" t="s">
        <v>92</v>
      </c>
      <c r="D379" s="3" t="s">
        <v>45</v>
      </c>
      <c r="E379" s="3" t="s">
        <v>407</v>
      </c>
      <c r="F379" s="3" t="s">
        <v>310</v>
      </c>
      <c r="G379" s="3"/>
      <c r="H379" s="12"/>
      <c r="I379" s="13"/>
      <c r="J379" s="10"/>
      <c r="K379" s="3"/>
      <c r="L379" s="3"/>
      <c r="M379" s="3"/>
      <c r="N379" s="3"/>
      <c r="O379" s="3"/>
      <c r="P379" s="3"/>
      <c r="Q379" s="3"/>
      <c r="R379" s="3"/>
      <c r="S379" s="3"/>
      <c r="T379" s="3"/>
      <c r="U379" s="3"/>
      <c r="V379" s="3"/>
      <c r="W379" s="10" t="str">
        <f>IF( J379="s.i", "s.i", IF(ISBLANK(J379),"Actualizando información",IFERROR(J379 / VLOOKUP(A379,Deflactor!$G$3:$H$64,2,0),"Revisar error" )))</f>
        <v>Actualizando información</v>
      </c>
    </row>
    <row r="380" spans="1:23" x14ac:dyDescent="0.25">
      <c r="A380" s="3">
        <v>2006</v>
      </c>
      <c r="B380" s="3" t="s">
        <v>474</v>
      </c>
      <c r="C380" s="3" t="s">
        <v>7</v>
      </c>
      <c r="D380" s="3" t="s">
        <v>25</v>
      </c>
      <c r="E380" s="3" t="s">
        <v>26</v>
      </c>
      <c r="F380" s="3" t="s">
        <v>310</v>
      </c>
      <c r="G380" s="3"/>
      <c r="H380" s="12"/>
      <c r="I380" s="13"/>
      <c r="J380" s="10"/>
      <c r="K380" s="3"/>
      <c r="L380" s="3"/>
      <c r="M380" s="3"/>
      <c r="N380" s="3"/>
      <c r="O380" s="3"/>
      <c r="P380" s="3"/>
      <c r="Q380" s="3"/>
      <c r="R380" s="3"/>
      <c r="S380" s="3"/>
      <c r="T380" s="3"/>
      <c r="U380" s="3"/>
      <c r="V380" s="3"/>
      <c r="W380" s="10" t="str">
        <f>IF( J380="s.i", "s.i", IF(ISBLANK(J380),"Actualizando información",IFERROR(J380 / VLOOKUP(A380,Deflactor!$G$3:$H$64,2,0),"Revisar error" )))</f>
        <v>Actualizando información</v>
      </c>
    </row>
    <row r="381" spans="1:23" x14ac:dyDescent="0.25">
      <c r="A381" s="3">
        <v>2006</v>
      </c>
      <c r="B381" s="3" t="s">
        <v>475</v>
      </c>
      <c r="C381" s="3" t="s">
        <v>155</v>
      </c>
      <c r="D381" s="3" t="s">
        <v>216</v>
      </c>
      <c r="E381" s="3" t="s">
        <v>475</v>
      </c>
      <c r="F381" s="3" t="s">
        <v>157</v>
      </c>
      <c r="G381" s="3"/>
      <c r="H381" s="12"/>
      <c r="I381" s="13"/>
      <c r="J381" s="10"/>
      <c r="K381" s="3"/>
      <c r="L381" s="3"/>
      <c r="M381" s="3"/>
      <c r="N381" s="3"/>
      <c r="O381" s="3"/>
      <c r="P381" s="3"/>
      <c r="Q381" s="3"/>
      <c r="R381" s="3"/>
      <c r="S381" s="3"/>
      <c r="T381" s="3"/>
      <c r="U381" s="3"/>
      <c r="V381" s="3"/>
      <c r="W381" s="10" t="str">
        <f>IF( J381="s.i", "s.i", IF(ISBLANK(J381),"Actualizando información",IFERROR(J381 / VLOOKUP(A381,Deflactor!$G$3:$H$64,2,0),"Revisar error" )))</f>
        <v>Actualizando información</v>
      </c>
    </row>
    <row r="382" spans="1:23" x14ac:dyDescent="0.25">
      <c r="A382" s="3">
        <v>2006</v>
      </c>
      <c r="B382" s="3" t="s">
        <v>476</v>
      </c>
      <c r="C382" s="3" t="s">
        <v>92</v>
      </c>
      <c r="D382" s="3" t="s">
        <v>36</v>
      </c>
      <c r="E382" s="3" t="s">
        <v>94</v>
      </c>
      <c r="F382" s="3" t="s">
        <v>329</v>
      </c>
      <c r="G382" s="3"/>
      <c r="H382" s="12"/>
      <c r="I382" s="13"/>
      <c r="J382" s="10"/>
      <c r="K382" s="3"/>
      <c r="L382" s="3"/>
      <c r="M382" s="3"/>
      <c r="N382" s="3"/>
      <c r="O382" s="3"/>
      <c r="P382" s="3"/>
      <c r="Q382" s="3"/>
      <c r="R382" s="3"/>
      <c r="S382" s="3"/>
      <c r="T382" s="3"/>
      <c r="U382" s="3"/>
      <c r="V382" s="3"/>
      <c r="W382" s="10" t="str">
        <f>IF( J382="s.i", "s.i", IF(ISBLANK(J382),"Actualizando información",IFERROR(J382 / VLOOKUP(A382,Deflactor!$G$3:$H$64,2,0),"Revisar error" )))</f>
        <v>Actualizando información</v>
      </c>
    </row>
    <row r="383" spans="1:23" x14ac:dyDescent="0.25">
      <c r="A383" s="3">
        <v>2006</v>
      </c>
      <c r="B383" s="3" t="s">
        <v>477</v>
      </c>
      <c r="C383" s="3" t="s">
        <v>7</v>
      </c>
      <c r="D383" s="3" t="s">
        <v>36</v>
      </c>
      <c r="E383" s="3" t="s">
        <v>98</v>
      </c>
      <c r="F383" s="3" t="s">
        <v>329</v>
      </c>
      <c r="G383" s="3"/>
      <c r="H383" s="12"/>
      <c r="I383" s="13"/>
      <c r="J383" s="10"/>
      <c r="K383" s="3"/>
      <c r="L383" s="3"/>
      <c r="M383" s="3"/>
      <c r="N383" s="3"/>
      <c r="O383" s="3"/>
      <c r="P383" s="3"/>
      <c r="Q383" s="3"/>
      <c r="R383" s="3"/>
      <c r="S383" s="3"/>
      <c r="T383" s="3"/>
      <c r="U383" s="3"/>
      <c r="V383" s="3"/>
      <c r="W383" s="10" t="str">
        <f>IF( J383="s.i", "s.i", IF(ISBLANK(J383),"Actualizando información",IFERROR(J383 / VLOOKUP(A383,Deflactor!$G$3:$H$64,2,0),"Revisar error" )))</f>
        <v>Actualizando información</v>
      </c>
    </row>
    <row r="384" spans="1:23" x14ac:dyDescent="0.25">
      <c r="A384" s="3">
        <v>2006</v>
      </c>
      <c r="B384" s="3" t="s">
        <v>478</v>
      </c>
      <c r="C384" s="3" t="s">
        <v>92</v>
      </c>
      <c r="D384" s="3" t="s">
        <v>32</v>
      </c>
      <c r="E384" s="3" t="s">
        <v>33</v>
      </c>
      <c r="F384" s="3" t="s">
        <v>310</v>
      </c>
      <c r="G384" s="3"/>
      <c r="H384" s="12"/>
      <c r="I384" s="13"/>
      <c r="J384" s="10"/>
      <c r="K384" s="3"/>
      <c r="L384" s="3"/>
      <c r="M384" s="3"/>
      <c r="N384" s="3"/>
      <c r="O384" s="3"/>
      <c r="P384" s="3"/>
      <c r="Q384" s="3"/>
      <c r="R384" s="3"/>
      <c r="S384" s="3"/>
      <c r="T384" s="3"/>
      <c r="U384" s="3"/>
      <c r="V384" s="3"/>
      <c r="W384" s="10" t="str">
        <f>IF( J384="s.i", "s.i", IF(ISBLANK(J384),"Actualizando información",IFERROR(J384 / VLOOKUP(A384,Deflactor!$G$3:$H$64,2,0),"Revisar error" )))</f>
        <v>Actualizando información</v>
      </c>
    </row>
    <row r="385" spans="1:23" x14ac:dyDescent="0.25">
      <c r="A385" s="3">
        <v>2006</v>
      </c>
      <c r="B385" s="3" t="s">
        <v>479</v>
      </c>
      <c r="C385" s="3" t="s">
        <v>7</v>
      </c>
      <c r="D385" s="3" t="s">
        <v>32</v>
      </c>
      <c r="E385" s="3" t="s">
        <v>33</v>
      </c>
      <c r="F385" s="3" t="s">
        <v>351</v>
      </c>
      <c r="G385" s="3"/>
      <c r="H385" s="12"/>
      <c r="I385" s="13"/>
      <c r="J385" s="10"/>
      <c r="K385" s="3"/>
      <c r="L385" s="3"/>
      <c r="M385" s="3"/>
      <c r="N385" s="3"/>
      <c r="O385" s="3"/>
      <c r="P385" s="3"/>
      <c r="Q385" s="3"/>
      <c r="R385" s="3"/>
      <c r="S385" s="3"/>
      <c r="T385" s="3"/>
      <c r="U385" s="3" t="s">
        <v>1327</v>
      </c>
      <c r="V385" s="3"/>
      <c r="W385" s="10" t="str">
        <f>IF( J385="s.i", "s.i", IF(ISBLANK(J385),"Actualizando información",IFERROR(J385 / VLOOKUP(A385,Deflactor!$G$3:$H$64,2,0),"Revisar error" )))</f>
        <v>Actualizando información</v>
      </c>
    </row>
    <row r="386" spans="1:23" x14ac:dyDescent="0.25">
      <c r="A386" s="3">
        <v>2006</v>
      </c>
      <c r="B386" s="3" t="s">
        <v>209</v>
      </c>
      <c r="C386" s="3" t="s">
        <v>7</v>
      </c>
      <c r="D386" s="3" t="s">
        <v>48</v>
      </c>
      <c r="E386" s="3" t="s">
        <v>49</v>
      </c>
      <c r="F386" s="3" t="s">
        <v>351</v>
      </c>
      <c r="G386" s="3"/>
      <c r="H386" s="12"/>
      <c r="I386" s="13"/>
      <c r="J386" s="10"/>
      <c r="K386" s="3"/>
      <c r="L386" s="3"/>
      <c r="M386" s="3"/>
      <c r="N386" s="3"/>
      <c r="O386" s="3"/>
      <c r="P386" s="3"/>
      <c r="Q386" s="3"/>
      <c r="R386" s="3"/>
      <c r="S386" s="3"/>
      <c r="T386" s="3"/>
      <c r="U386" s="3"/>
      <c r="V386" s="3"/>
      <c r="W386" s="10" t="str">
        <f>IF( J386="s.i", "s.i", IF(ISBLANK(J386),"Actualizando información",IFERROR(J386 / VLOOKUP(A386,Deflactor!$G$3:$H$64,2,0),"Revisar error" )))</f>
        <v>Actualizando información</v>
      </c>
    </row>
    <row r="387" spans="1:23" x14ac:dyDescent="0.25">
      <c r="A387" s="3">
        <v>2006</v>
      </c>
      <c r="B387" s="3" t="s">
        <v>480</v>
      </c>
      <c r="C387" s="3" t="s">
        <v>92</v>
      </c>
      <c r="D387" s="3" t="s">
        <v>36</v>
      </c>
      <c r="E387" s="3" t="s">
        <v>37</v>
      </c>
      <c r="F387" s="3" t="s">
        <v>351</v>
      </c>
      <c r="G387" s="3"/>
      <c r="H387" s="12"/>
      <c r="I387" s="13"/>
      <c r="J387" s="10"/>
      <c r="K387" s="3"/>
      <c r="L387" s="3"/>
      <c r="M387" s="3"/>
      <c r="N387" s="3"/>
      <c r="O387" s="3"/>
      <c r="P387" s="3"/>
      <c r="Q387" s="3"/>
      <c r="R387" s="3"/>
      <c r="S387" s="3"/>
      <c r="T387" s="3"/>
      <c r="U387" s="3"/>
      <c r="V387" s="3"/>
      <c r="W387" s="10" t="str">
        <f>IF( J387="s.i", "s.i", IF(ISBLANK(J387),"Actualizando información",IFERROR(J387 / VLOOKUP(A387,Deflactor!$G$3:$H$64,2,0),"Revisar error" )))</f>
        <v>Actualizando información</v>
      </c>
    </row>
    <row r="388" spans="1:23" x14ac:dyDescent="0.25">
      <c r="A388" s="3">
        <v>2006</v>
      </c>
      <c r="B388" s="3" t="s">
        <v>250</v>
      </c>
      <c r="C388" s="3" t="s">
        <v>7</v>
      </c>
      <c r="D388" s="3" t="s">
        <v>397</v>
      </c>
      <c r="E388" s="3" t="s">
        <v>397</v>
      </c>
      <c r="F388" s="3" t="s">
        <v>310</v>
      </c>
      <c r="G388" s="3"/>
      <c r="H388" s="12"/>
      <c r="I388" s="13"/>
      <c r="J388" s="10"/>
      <c r="K388" s="3" t="s">
        <v>1761</v>
      </c>
      <c r="L388" s="3"/>
      <c r="M388" s="3"/>
      <c r="N388" s="3"/>
      <c r="O388" s="3"/>
      <c r="P388" s="3"/>
      <c r="Q388" s="3"/>
      <c r="R388" s="3"/>
      <c r="S388" s="3"/>
      <c r="T388" s="3"/>
      <c r="U388" s="3" t="s">
        <v>250</v>
      </c>
      <c r="V388" s="3"/>
      <c r="W388" s="10" t="str">
        <f>IF( J388="s.i", "s.i", IF(ISBLANK(J388),"Actualizando información",IFERROR(J388 / VLOOKUP(A388,Deflactor!$G$3:$H$64,2,0),"Revisar error" )))</f>
        <v>Actualizando información</v>
      </c>
    </row>
    <row r="389" spans="1:23" x14ac:dyDescent="0.25">
      <c r="A389" s="3">
        <v>2006</v>
      </c>
      <c r="B389" s="3" t="s">
        <v>481</v>
      </c>
      <c r="C389" s="3" t="s">
        <v>7</v>
      </c>
      <c r="D389" s="3" t="s">
        <v>12</v>
      </c>
      <c r="E389" s="3" t="s">
        <v>482</v>
      </c>
      <c r="F389" s="3" t="s">
        <v>310</v>
      </c>
      <c r="G389" s="3"/>
      <c r="H389" s="12"/>
      <c r="I389" s="13"/>
      <c r="J389" s="10"/>
      <c r="K389" s="3"/>
      <c r="L389" s="3"/>
      <c r="M389" s="3"/>
      <c r="N389" s="3"/>
      <c r="O389" s="3"/>
      <c r="P389" s="3"/>
      <c r="Q389" s="3"/>
      <c r="R389" s="3"/>
      <c r="S389" s="3"/>
      <c r="T389" s="3"/>
      <c r="U389" s="3"/>
      <c r="V389" s="3"/>
      <c r="W389" s="10" t="str">
        <f>IF( J389="s.i", "s.i", IF(ISBLANK(J389),"Actualizando información",IFERROR(J389 / VLOOKUP(A389,Deflactor!$G$3:$H$64,2,0),"Revisar error" )))</f>
        <v>Actualizando información</v>
      </c>
    </row>
    <row r="390" spans="1:23" x14ac:dyDescent="0.25">
      <c r="A390" s="3">
        <v>2006</v>
      </c>
      <c r="B390" s="3" t="s">
        <v>483</v>
      </c>
      <c r="C390" s="3" t="s">
        <v>7</v>
      </c>
      <c r="D390" s="3" t="s">
        <v>36</v>
      </c>
      <c r="E390" s="3" t="s">
        <v>94</v>
      </c>
      <c r="F390" s="3" t="s">
        <v>351</v>
      </c>
      <c r="G390" s="3"/>
      <c r="H390" s="12"/>
      <c r="I390" s="13"/>
      <c r="J390" s="10"/>
      <c r="K390" s="3"/>
      <c r="L390" s="3"/>
      <c r="M390" s="3"/>
      <c r="N390" s="3"/>
      <c r="O390" s="3"/>
      <c r="P390" s="3"/>
      <c r="Q390" s="3"/>
      <c r="R390" s="3"/>
      <c r="S390" s="3"/>
      <c r="T390" s="3"/>
      <c r="U390" s="3"/>
      <c r="V390" s="3"/>
      <c r="W390" s="10" t="str">
        <f>IF( J390="s.i", "s.i", IF(ISBLANK(J390),"Actualizando información",IFERROR(J390 / VLOOKUP(A390,Deflactor!$G$3:$H$64,2,0),"Revisar error" )))</f>
        <v>Actualizando información</v>
      </c>
    </row>
    <row r="391" spans="1:23" x14ac:dyDescent="0.25">
      <c r="A391" s="3">
        <v>2006</v>
      </c>
      <c r="B391" s="3" t="s">
        <v>484</v>
      </c>
      <c r="C391" s="3" t="s">
        <v>155</v>
      </c>
      <c r="D391" s="3" t="s">
        <v>71</v>
      </c>
      <c r="E391" s="3" t="s">
        <v>167</v>
      </c>
      <c r="F391" s="3" t="s">
        <v>157</v>
      </c>
      <c r="G391" s="3"/>
      <c r="H391" s="12"/>
      <c r="I391" s="13"/>
      <c r="J391" s="10"/>
      <c r="K391" s="3"/>
      <c r="L391" s="3"/>
      <c r="M391" s="3"/>
      <c r="N391" s="3"/>
      <c r="O391" s="3"/>
      <c r="P391" s="3"/>
      <c r="Q391" s="3"/>
      <c r="R391" s="3"/>
      <c r="S391" s="3"/>
      <c r="T391" s="3"/>
      <c r="U391" s="3"/>
      <c r="V391" s="3"/>
      <c r="W391" s="10" t="str">
        <f>IF( J391="s.i", "s.i", IF(ISBLANK(J391),"Actualizando información",IFERROR(J391 / VLOOKUP(A391,Deflactor!$G$3:$H$64,2,0),"Revisar error" )))</f>
        <v>Actualizando información</v>
      </c>
    </row>
    <row r="392" spans="1:23" x14ac:dyDescent="0.25">
      <c r="A392" s="3">
        <v>2006</v>
      </c>
      <c r="B392" s="3" t="s">
        <v>263</v>
      </c>
      <c r="C392" s="3" t="s">
        <v>7</v>
      </c>
      <c r="D392" s="3" t="s">
        <v>8</v>
      </c>
      <c r="E392" s="3" t="s">
        <v>264</v>
      </c>
      <c r="F392" s="3" t="s">
        <v>329</v>
      </c>
      <c r="G392" s="3"/>
      <c r="H392" s="12"/>
      <c r="I392" s="13"/>
      <c r="J392" s="10"/>
      <c r="K392" s="3"/>
      <c r="L392" s="3"/>
      <c r="M392" s="3"/>
      <c r="N392" s="3"/>
      <c r="O392" s="3"/>
      <c r="P392" s="3"/>
      <c r="Q392" s="3"/>
      <c r="R392" s="3"/>
      <c r="S392" s="3"/>
      <c r="T392" s="3"/>
      <c r="U392" s="3"/>
      <c r="V392" s="3"/>
      <c r="W392" s="10" t="str">
        <f>IF( J392="s.i", "s.i", IF(ISBLANK(J392),"Actualizando información",IFERROR(J392 / VLOOKUP(A392,Deflactor!$G$3:$H$64,2,0),"Revisar error" )))</f>
        <v>Actualizando información</v>
      </c>
    </row>
    <row r="393" spans="1:23" x14ac:dyDescent="0.25">
      <c r="A393" s="3">
        <v>2006</v>
      </c>
      <c r="B393" s="3" t="s">
        <v>485</v>
      </c>
      <c r="C393" s="3" t="s">
        <v>7</v>
      </c>
      <c r="D393" s="3" t="s">
        <v>8</v>
      </c>
      <c r="E393" s="3" t="s">
        <v>9</v>
      </c>
      <c r="F393" s="3" t="s">
        <v>329</v>
      </c>
      <c r="G393" s="3"/>
      <c r="H393" s="12"/>
      <c r="I393" s="13"/>
      <c r="J393" s="10"/>
      <c r="K393" s="3"/>
      <c r="L393" s="3"/>
      <c r="M393" s="3"/>
      <c r="N393" s="3"/>
      <c r="O393" s="3"/>
      <c r="P393" s="3"/>
      <c r="Q393" s="3"/>
      <c r="R393" s="3"/>
      <c r="S393" s="3"/>
      <c r="T393" s="3"/>
      <c r="U393" s="3"/>
      <c r="V393" s="3"/>
      <c r="W393" s="10" t="str">
        <f>IF( J393="s.i", "s.i", IF(ISBLANK(J393),"Actualizando información",IFERROR(J393 / VLOOKUP(A393,Deflactor!$G$3:$H$64,2,0),"Revisar error" )))</f>
        <v>Actualizando información</v>
      </c>
    </row>
    <row r="394" spans="1:23" x14ac:dyDescent="0.25">
      <c r="A394" s="3">
        <v>2006</v>
      </c>
      <c r="B394" s="3" t="s">
        <v>486</v>
      </c>
      <c r="C394" s="3" t="s">
        <v>7</v>
      </c>
      <c r="D394" s="3" t="s">
        <v>159</v>
      </c>
      <c r="E394" s="3" t="s">
        <v>160</v>
      </c>
      <c r="F394" s="3" t="s">
        <v>329</v>
      </c>
      <c r="G394" s="3"/>
      <c r="H394" s="12"/>
      <c r="I394" s="13"/>
      <c r="J394" s="10"/>
      <c r="K394" s="3"/>
      <c r="L394" s="3"/>
      <c r="M394" s="3"/>
      <c r="N394" s="3"/>
      <c r="O394" s="3"/>
      <c r="P394" s="3"/>
      <c r="Q394" s="3"/>
      <c r="R394" s="3"/>
      <c r="S394" s="3"/>
      <c r="T394" s="3"/>
      <c r="U394" s="3"/>
      <c r="V394" s="3"/>
      <c r="W394" s="10" t="str">
        <f>IF( J394="s.i", "s.i", IF(ISBLANK(J394),"Actualizando información",IFERROR(J394 / VLOOKUP(A394,Deflactor!$G$3:$H$64,2,0),"Revisar error" )))</f>
        <v>Actualizando información</v>
      </c>
    </row>
    <row r="395" spans="1:23" x14ac:dyDescent="0.25">
      <c r="A395" s="3">
        <v>2006</v>
      </c>
      <c r="B395" s="3" t="s">
        <v>487</v>
      </c>
      <c r="C395" s="3" t="s">
        <v>92</v>
      </c>
      <c r="D395" s="3" t="s">
        <v>290</v>
      </c>
      <c r="E395" s="3" t="s">
        <v>291</v>
      </c>
      <c r="F395" s="3" t="s">
        <v>310</v>
      </c>
      <c r="G395" s="3"/>
      <c r="H395" s="12"/>
      <c r="I395" s="13"/>
      <c r="J395" s="10"/>
      <c r="K395" s="3"/>
      <c r="L395" s="3"/>
      <c r="M395" s="3"/>
      <c r="N395" s="3"/>
      <c r="O395" s="3"/>
      <c r="P395" s="3"/>
      <c r="Q395" s="3"/>
      <c r="R395" s="3"/>
      <c r="S395" s="3"/>
      <c r="T395" s="3"/>
      <c r="U395" s="3"/>
      <c r="V395" s="3"/>
      <c r="W395" s="10" t="str">
        <f>IF( J395="s.i", "s.i", IF(ISBLANK(J395),"Actualizando información",IFERROR(J395 / VLOOKUP(A395,Deflactor!$G$3:$H$64,2,0),"Revisar error" )))</f>
        <v>Actualizando información</v>
      </c>
    </row>
    <row r="396" spans="1:23" x14ac:dyDescent="0.25">
      <c r="A396" s="3">
        <v>2006</v>
      </c>
      <c r="B396" s="3" t="s">
        <v>488</v>
      </c>
      <c r="C396" s="3" t="s">
        <v>92</v>
      </c>
      <c r="D396" s="3" t="s">
        <v>290</v>
      </c>
      <c r="E396" s="3" t="s">
        <v>291</v>
      </c>
      <c r="F396" s="3" t="s">
        <v>310</v>
      </c>
      <c r="G396" s="3"/>
      <c r="H396" s="12"/>
      <c r="I396" s="13"/>
      <c r="J396" s="10"/>
      <c r="K396" s="3"/>
      <c r="L396" s="3"/>
      <c r="M396" s="3"/>
      <c r="N396" s="3"/>
      <c r="O396" s="3"/>
      <c r="P396" s="3"/>
      <c r="Q396" s="3"/>
      <c r="R396" s="3"/>
      <c r="S396" s="3"/>
      <c r="T396" s="3"/>
      <c r="U396" s="3"/>
      <c r="V396" s="3"/>
      <c r="W396" s="10" t="str">
        <f>IF( J396="s.i", "s.i", IF(ISBLANK(J396),"Actualizando información",IFERROR(J396 / VLOOKUP(A396,Deflactor!$G$3:$H$64,2,0),"Revisar error" )))</f>
        <v>Actualizando información</v>
      </c>
    </row>
    <row r="397" spans="1:23" x14ac:dyDescent="0.25">
      <c r="A397" s="3">
        <v>2006</v>
      </c>
      <c r="B397" s="3" t="s">
        <v>489</v>
      </c>
      <c r="C397" s="3" t="s">
        <v>7</v>
      </c>
      <c r="D397" s="3" t="s">
        <v>290</v>
      </c>
      <c r="E397" s="3" t="s">
        <v>291</v>
      </c>
      <c r="F397" s="3" t="s">
        <v>399</v>
      </c>
      <c r="G397" s="3"/>
      <c r="H397" s="12"/>
      <c r="I397" s="13"/>
      <c r="J397" s="10"/>
      <c r="K397" s="3"/>
      <c r="L397" s="3"/>
      <c r="M397" s="3"/>
      <c r="N397" s="3"/>
      <c r="O397" s="3"/>
      <c r="P397" s="3"/>
      <c r="Q397" s="3"/>
      <c r="R397" s="3"/>
      <c r="S397" s="3"/>
      <c r="T397" s="3"/>
      <c r="U397" s="3"/>
      <c r="V397" s="3"/>
      <c r="W397" s="10" t="str">
        <f>IF( J397="s.i", "s.i", IF(ISBLANK(J397),"Actualizando información",IFERROR(J397 / VLOOKUP(A397,Deflactor!$G$3:$H$64,2,0),"Revisar error" )))</f>
        <v>Actualizando información</v>
      </c>
    </row>
    <row r="398" spans="1:23" x14ac:dyDescent="0.25">
      <c r="A398" s="3">
        <v>2005</v>
      </c>
      <c r="B398" s="3" t="s">
        <v>490</v>
      </c>
      <c r="C398" s="3" t="s">
        <v>92</v>
      </c>
      <c r="D398" s="3" t="s">
        <v>290</v>
      </c>
      <c r="E398" s="3" t="s">
        <v>291</v>
      </c>
      <c r="F398" s="3" t="s">
        <v>351</v>
      </c>
      <c r="G398" s="3"/>
      <c r="H398" s="12"/>
      <c r="I398" s="13"/>
      <c r="J398" s="10"/>
      <c r="K398" s="3"/>
      <c r="L398" s="3"/>
      <c r="M398" s="3"/>
      <c r="N398" s="3"/>
      <c r="O398" s="3"/>
      <c r="P398" s="3"/>
      <c r="Q398" s="3"/>
      <c r="R398" s="3"/>
      <c r="S398" s="3"/>
      <c r="T398" s="3"/>
      <c r="U398" s="3" t="s">
        <v>99</v>
      </c>
      <c r="V398" s="3"/>
      <c r="W398" s="10" t="str">
        <f>IF( J398="s.i", "s.i", IF(ISBLANK(J398),"Actualizando información",IFERROR(J398 / VLOOKUP(A398,Deflactor!$G$3:$H$64,2,0),"Revisar error" )))</f>
        <v>Actualizando información</v>
      </c>
    </row>
    <row r="399" spans="1:23" x14ac:dyDescent="0.25">
      <c r="A399" s="3">
        <v>2005</v>
      </c>
      <c r="B399" s="3" t="s">
        <v>491</v>
      </c>
      <c r="C399" s="3" t="s">
        <v>7</v>
      </c>
      <c r="D399" s="3" t="s">
        <v>12</v>
      </c>
      <c r="E399" s="3" t="s">
        <v>13</v>
      </c>
      <c r="F399" s="3" t="s">
        <v>308</v>
      </c>
      <c r="G399" s="3"/>
      <c r="H399" s="12"/>
      <c r="I399" s="13"/>
      <c r="J399" s="10"/>
      <c r="K399" s="3"/>
      <c r="L399" s="3"/>
      <c r="M399" s="3"/>
      <c r="N399" s="3"/>
      <c r="O399" s="3"/>
      <c r="P399" s="3"/>
      <c r="Q399" s="3"/>
      <c r="R399" s="3"/>
      <c r="S399" s="3"/>
      <c r="T399" s="3"/>
      <c r="U399" s="3"/>
      <c r="V399" s="3"/>
      <c r="W399" s="10" t="str">
        <f>IF( J399="s.i", "s.i", IF(ISBLANK(J399),"Actualizando información",IFERROR(J399 / VLOOKUP(A399,Deflactor!$G$3:$H$64,2,0),"Revisar error" )))</f>
        <v>Actualizando información</v>
      </c>
    </row>
    <row r="400" spans="1:23" x14ac:dyDescent="0.25">
      <c r="A400" s="3">
        <v>2005</v>
      </c>
      <c r="B400" s="3" t="s">
        <v>492</v>
      </c>
      <c r="C400" s="3" t="s">
        <v>7</v>
      </c>
      <c r="D400" s="3" t="s">
        <v>397</v>
      </c>
      <c r="E400" s="3" t="s">
        <v>398</v>
      </c>
      <c r="F400" s="3" t="s">
        <v>310</v>
      </c>
      <c r="G400" s="3"/>
      <c r="H400" s="12"/>
      <c r="I400" s="13"/>
      <c r="J400" s="10"/>
      <c r="K400" s="3"/>
      <c r="L400" s="3"/>
      <c r="M400" s="3"/>
      <c r="N400" s="3"/>
      <c r="O400" s="3"/>
      <c r="P400" s="3"/>
      <c r="Q400" s="3"/>
      <c r="R400" s="3"/>
      <c r="S400" s="3"/>
      <c r="T400" s="3"/>
      <c r="U400" s="3"/>
      <c r="V400" s="3"/>
      <c r="W400" s="10" t="str">
        <f>IF( J400="s.i", "s.i", IF(ISBLANK(J400),"Actualizando información",IFERROR(J400 / VLOOKUP(A400,Deflactor!$G$3:$H$64,2,0),"Revisar error" )))</f>
        <v>Actualizando información</v>
      </c>
    </row>
    <row r="401" spans="1:23" x14ac:dyDescent="0.25">
      <c r="A401" s="3">
        <v>2005</v>
      </c>
      <c r="B401" s="3" t="s">
        <v>493</v>
      </c>
      <c r="C401" s="3" t="s">
        <v>7</v>
      </c>
      <c r="D401" s="3" t="s">
        <v>12</v>
      </c>
      <c r="E401" s="3" t="s">
        <v>13</v>
      </c>
      <c r="F401" s="3" t="s">
        <v>329</v>
      </c>
      <c r="G401" s="3"/>
      <c r="H401" s="12"/>
      <c r="I401" s="13"/>
      <c r="J401" s="10"/>
      <c r="K401" s="3"/>
      <c r="L401" s="3"/>
      <c r="M401" s="3"/>
      <c r="N401" s="3"/>
      <c r="O401" s="3"/>
      <c r="P401" s="3"/>
      <c r="Q401" s="3"/>
      <c r="R401" s="3"/>
      <c r="S401" s="3"/>
      <c r="T401" s="3"/>
      <c r="U401" s="3"/>
      <c r="V401" s="3"/>
      <c r="W401" s="10" t="str">
        <f>IF( J401="s.i", "s.i", IF(ISBLANK(J401),"Actualizando información",IFERROR(J401 / VLOOKUP(A401,Deflactor!$G$3:$H$64,2,0),"Revisar error" )))</f>
        <v>Actualizando información</v>
      </c>
    </row>
    <row r="402" spans="1:23" x14ac:dyDescent="0.25">
      <c r="A402" s="3">
        <v>2005</v>
      </c>
      <c r="B402" s="3" t="s">
        <v>494</v>
      </c>
      <c r="C402" s="3" t="s">
        <v>7</v>
      </c>
      <c r="D402" s="3" t="s">
        <v>25</v>
      </c>
      <c r="E402" s="3" t="s">
        <v>495</v>
      </c>
      <c r="F402" s="3" t="s">
        <v>399</v>
      </c>
      <c r="G402" s="3"/>
      <c r="H402" s="12"/>
      <c r="I402" s="13"/>
      <c r="J402" s="10"/>
      <c r="K402" s="3"/>
      <c r="L402" s="3"/>
      <c r="M402" s="3"/>
      <c r="N402" s="3"/>
      <c r="O402" s="3"/>
      <c r="P402" s="3"/>
      <c r="Q402" s="3"/>
      <c r="R402" s="3"/>
      <c r="S402" s="3"/>
      <c r="T402" s="3"/>
      <c r="U402" s="3"/>
      <c r="V402" s="3"/>
      <c r="W402" s="10" t="str">
        <f>IF( J402="s.i", "s.i", IF(ISBLANK(J402),"Actualizando información",IFERROR(J402 / VLOOKUP(A402,Deflactor!$G$3:$H$64,2,0),"Revisar error" )))</f>
        <v>Actualizando información</v>
      </c>
    </row>
    <row r="403" spans="1:23" x14ac:dyDescent="0.25">
      <c r="A403" s="3">
        <v>2005</v>
      </c>
      <c r="B403" s="3" t="s">
        <v>496</v>
      </c>
      <c r="C403" s="3" t="s">
        <v>7</v>
      </c>
      <c r="D403" s="3" t="s">
        <v>25</v>
      </c>
      <c r="E403" s="3" t="s">
        <v>497</v>
      </c>
      <c r="F403" s="3" t="s">
        <v>329</v>
      </c>
      <c r="G403" s="3"/>
      <c r="H403" s="12"/>
      <c r="I403" s="13"/>
      <c r="J403" s="10"/>
      <c r="K403" s="3"/>
      <c r="L403" s="3"/>
      <c r="M403" s="3"/>
      <c r="N403" s="3"/>
      <c r="O403" s="3"/>
      <c r="P403" s="3"/>
      <c r="Q403" s="3"/>
      <c r="R403" s="3"/>
      <c r="S403" s="3"/>
      <c r="T403" s="3"/>
      <c r="U403" s="3"/>
      <c r="V403" s="3"/>
      <c r="W403" s="10" t="str">
        <f>IF( J403="s.i", "s.i", IF(ISBLANK(J403),"Actualizando información",IFERROR(J403 / VLOOKUP(A403,Deflactor!$G$3:$H$64,2,0),"Revisar error" )))</f>
        <v>Actualizando información</v>
      </c>
    </row>
    <row r="404" spans="1:23" x14ac:dyDescent="0.25">
      <c r="A404" s="3">
        <v>2005</v>
      </c>
      <c r="B404" s="3" t="s">
        <v>498</v>
      </c>
      <c r="C404" s="3" t="s">
        <v>7</v>
      </c>
      <c r="D404" s="3" t="s">
        <v>25</v>
      </c>
      <c r="E404" s="3" t="s">
        <v>26</v>
      </c>
      <c r="F404" s="3" t="s">
        <v>329</v>
      </c>
      <c r="G404" s="3"/>
      <c r="H404" s="12"/>
      <c r="I404" s="13"/>
      <c r="J404" s="10"/>
      <c r="K404" s="3"/>
      <c r="L404" s="3"/>
      <c r="M404" s="3"/>
      <c r="N404" s="3"/>
      <c r="O404" s="3"/>
      <c r="P404" s="3"/>
      <c r="Q404" s="3"/>
      <c r="R404" s="3"/>
      <c r="S404" s="3"/>
      <c r="T404" s="3"/>
      <c r="U404" s="3"/>
      <c r="V404" s="3" t="s">
        <v>1217</v>
      </c>
      <c r="W404" s="10" t="str">
        <f>IF( J404="s.i", "s.i", IF(ISBLANK(J404),"Actualizando información",IFERROR(J404 / VLOOKUP(A404,Deflactor!$G$3:$H$64,2,0),"Revisar error" )))</f>
        <v>Actualizando información</v>
      </c>
    </row>
    <row r="405" spans="1:23" x14ac:dyDescent="0.25">
      <c r="A405" s="3">
        <v>2005</v>
      </c>
      <c r="B405" s="3" t="s">
        <v>499</v>
      </c>
      <c r="C405" s="3" t="s">
        <v>7</v>
      </c>
      <c r="D405" s="3" t="s">
        <v>25</v>
      </c>
      <c r="E405" s="3" t="s">
        <v>151</v>
      </c>
      <c r="F405" s="3" t="s">
        <v>310</v>
      </c>
      <c r="G405" s="3"/>
      <c r="H405" s="12"/>
      <c r="I405" s="13"/>
      <c r="J405" s="10"/>
      <c r="K405" s="3"/>
      <c r="L405" s="3"/>
      <c r="M405" s="3"/>
      <c r="N405" s="3"/>
      <c r="O405" s="3"/>
      <c r="P405" s="3"/>
      <c r="Q405" s="3"/>
      <c r="R405" s="3"/>
      <c r="S405" s="3"/>
      <c r="T405" s="3"/>
      <c r="U405" s="3"/>
      <c r="V405" s="3"/>
      <c r="W405" s="10" t="str">
        <f>IF( J405="s.i", "s.i", IF(ISBLANK(J405),"Actualizando información",IFERROR(J405 / VLOOKUP(A405,Deflactor!$G$3:$H$64,2,0),"Revisar error" )))</f>
        <v>Actualizando información</v>
      </c>
    </row>
    <row r="406" spans="1:23" x14ac:dyDescent="0.25">
      <c r="A406" s="3">
        <v>2005</v>
      </c>
      <c r="B406" s="3" t="s">
        <v>500</v>
      </c>
      <c r="C406" s="3" t="s">
        <v>92</v>
      </c>
      <c r="D406" s="3" t="s">
        <v>36</v>
      </c>
      <c r="E406" s="3" t="s">
        <v>81</v>
      </c>
      <c r="F406" s="3" t="s">
        <v>310</v>
      </c>
      <c r="G406" s="3"/>
      <c r="H406" s="12"/>
      <c r="I406" s="13"/>
      <c r="J406" s="10"/>
      <c r="K406" s="3"/>
      <c r="L406" s="3"/>
      <c r="M406" s="3"/>
      <c r="N406" s="3"/>
      <c r="O406" s="3"/>
      <c r="P406" s="3"/>
      <c r="Q406" s="3"/>
      <c r="R406" s="3"/>
      <c r="S406" s="3"/>
      <c r="T406" s="3"/>
      <c r="U406" s="3"/>
      <c r="V406" s="3"/>
      <c r="W406" s="10" t="str">
        <f>IF( J406="s.i", "s.i", IF(ISBLANK(J406),"Actualizando información",IFERROR(J406 / VLOOKUP(A406,Deflactor!$G$3:$H$64,2,0),"Revisar error" )))</f>
        <v>Actualizando información</v>
      </c>
    </row>
    <row r="407" spans="1:23" x14ac:dyDescent="0.25">
      <c r="A407" s="3">
        <v>2005</v>
      </c>
      <c r="B407" s="3" t="s">
        <v>501</v>
      </c>
      <c r="C407" s="3" t="s">
        <v>92</v>
      </c>
      <c r="D407" s="3" t="s">
        <v>36</v>
      </c>
      <c r="E407" s="3" t="s">
        <v>81</v>
      </c>
      <c r="F407" s="3" t="s">
        <v>329</v>
      </c>
      <c r="G407" s="3"/>
      <c r="H407" s="12"/>
      <c r="I407" s="13"/>
      <c r="J407" s="10"/>
      <c r="K407" s="3"/>
      <c r="L407" s="3"/>
      <c r="M407" s="3"/>
      <c r="N407" s="3"/>
      <c r="O407" s="3"/>
      <c r="P407" s="3"/>
      <c r="Q407" s="3"/>
      <c r="R407" s="3"/>
      <c r="S407" s="3"/>
      <c r="T407" s="3"/>
      <c r="U407" s="3"/>
      <c r="V407" s="3"/>
      <c r="W407" s="10" t="str">
        <f>IF( J407="s.i", "s.i", IF(ISBLANK(J407),"Actualizando información",IFERROR(J407 / VLOOKUP(A407,Deflactor!$G$3:$H$64,2,0),"Revisar error" )))</f>
        <v>Actualizando información</v>
      </c>
    </row>
    <row r="408" spans="1:23" x14ac:dyDescent="0.25">
      <c r="A408" s="3">
        <v>2005</v>
      </c>
      <c r="B408" s="3" t="s">
        <v>502</v>
      </c>
      <c r="C408" s="3" t="s">
        <v>7</v>
      </c>
      <c r="D408" s="3" t="s">
        <v>40</v>
      </c>
      <c r="E408" s="3" t="s">
        <v>41</v>
      </c>
      <c r="F408" s="3" t="s">
        <v>351</v>
      </c>
      <c r="G408" s="3"/>
      <c r="H408" s="12"/>
      <c r="I408" s="13"/>
      <c r="J408" s="10"/>
      <c r="K408" s="3"/>
      <c r="L408" s="3"/>
      <c r="M408" s="3"/>
      <c r="N408" s="3"/>
      <c r="O408" s="3"/>
      <c r="P408" s="3"/>
      <c r="Q408" s="3"/>
      <c r="R408" s="3"/>
      <c r="S408" s="3"/>
      <c r="T408" s="3"/>
      <c r="U408" s="3"/>
      <c r="V408" s="3"/>
      <c r="W408" s="10" t="str">
        <f>IF( J408="s.i", "s.i", IF(ISBLANK(J408),"Actualizando información",IFERROR(J408 / VLOOKUP(A408,Deflactor!$G$3:$H$64,2,0),"Revisar error" )))</f>
        <v>Actualizando información</v>
      </c>
    </row>
    <row r="409" spans="1:23" x14ac:dyDescent="0.25">
      <c r="A409" s="3">
        <v>2005</v>
      </c>
      <c r="B409" s="3" t="s">
        <v>503</v>
      </c>
      <c r="C409" s="3" t="s">
        <v>7</v>
      </c>
      <c r="D409" s="3" t="s">
        <v>40</v>
      </c>
      <c r="E409" s="3" t="s">
        <v>41</v>
      </c>
      <c r="F409" s="3" t="s">
        <v>329</v>
      </c>
      <c r="G409" s="3"/>
      <c r="H409" s="12"/>
      <c r="I409" s="13"/>
      <c r="J409" s="10"/>
      <c r="K409" s="3"/>
      <c r="L409" s="3"/>
      <c r="M409" s="3"/>
      <c r="N409" s="3"/>
      <c r="O409" s="3"/>
      <c r="P409" s="3"/>
      <c r="Q409" s="3"/>
      <c r="R409" s="3"/>
      <c r="S409" s="3"/>
      <c r="T409" s="3"/>
      <c r="U409" s="3"/>
      <c r="V409" s="3"/>
      <c r="W409" s="10" t="str">
        <f>IF( J409="s.i", "s.i", IF(ISBLANK(J409),"Actualizando información",IFERROR(J409 / VLOOKUP(A409,Deflactor!$G$3:$H$64,2,0),"Revisar error" )))</f>
        <v>Actualizando información</v>
      </c>
    </row>
    <row r="410" spans="1:23" x14ac:dyDescent="0.25">
      <c r="A410" s="3">
        <v>2005</v>
      </c>
      <c r="B410" s="3" t="s">
        <v>504</v>
      </c>
      <c r="C410" s="3" t="s">
        <v>7</v>
      </c>
      <c r="D410" s="3" t="s">
        <v>12</v>
      </c>
      <c r="E410" s="3" t="s">
        <v>505</v>
      </c>
      <c r="F410" s="3" t="s">
        <v>308</v>
      </c>
      <c r="G410" s="3"/>
      <c r="H410" s="12"/>
      <c r="I410" s="13"/>
      <c r="J410" s="10"/>
      <c r="K410" s="3"/>
      <c r="L410" s="3"/>
      <c r="M410" s="3"/>
      <c r="N410" s="3"/>
      <c r="O410" s="3"/>
      <c r="P410" s="3"/>
      <c r="Q410" s="3"/>
      <c r="R410" s="3"/>
      <c r="S410" s="3"/>
      <c r="T410" s="3"/>
      <c r="U410" s="3"/>
      <c r="V410" s="3"/>
      <c r="W410" s="10" t="str">
        <f>IF( J410="s.i", "s.i", IF(ISBLANK(J410),"Actualizando información",IFERROR(J410 / VLOOKUP(A410,Deflactor!$G$3:$H$64,2,0),"Revisar error" )))</f>
        <v>Actualizando información</v>
      </c>
    </row>
    <row r="411" spans="1:23" x14ac:dyDescent="0.25">
      <c r="A411" s="3">
        <v>2005</v>
      </c>
      <c r="B411" s="3" t="s">
        <v>506</v>
      </c>
      <c r="C411" s="3" t="s">
        <v>7</v>
      </c>
      <c r="D411" s="3" t="s">
        <v>40</v>
      </c>
      <c r="E411" s="3" t="s">
        <v>41</v>
      </c>
      <c r="F411" s="3" t="s">
        <v>310</v>
      </c>
      <c r="G411" s="3"/>
      <c r="H411" s="12"/>
      <c r="I411" s="13"/>
      <c r="J411" s="10"/>
      <c r="K411" s="3"/>
      <c r="L411" s="3"/>
      <c r="M411" s="3"/>
      <c r="N411" s="3"/>
      <c r="O411" s="3"/>
      <c r="P411" s="3"/>
      <c r="Q411" s="3"/>
      <c r="R411" s="3"/>
      <c r="S411" s="3"/>
      <c r="T411" s="3"/>
      <c r="U411" s="3"/>
      <c r="V411" s="3"/>
      <c r="W411" s="10" t="str">
        <f>IF( J411="s.i", "s.i", IF(ISBLANK(J411),"Actualizando información",IFERROR(J411 / VLOOKUP(A411,Deflactor!$G$3:$H$64,2,0),"Revisar error" )))</f>
        <v>Actualizando información</v>
      </c>
    </row>
    <row r="412" spans="1:23" x14ac:dyDescent="0.25">
      <c r="A412" s="3">
        <v>2005</v>
      </c>
      <c r="B412" s="3" t="s">
        <v>507</v>
      </c>
      <c r="C412" s="3" t="s">
        <v>155</v>
      </c>
      <c r="D412" s="3" t="s">
        <v>8</v>
      </c>
      <c r="E412" s="3" t="s">
        <v>264</v>
      </c>
      <c r="F412" s="3" t="s">
        <v>157</v>
      </c>
      <c r="G412" s="3"/>
      <c r="H412" s="12"/>
      <c r="I412" s="13"/>
      <c r="J412" s="10"/>
      <c r="K412" s="3"/>
      <c r="L412" s="3"/>
      <c r="M412" s="3"/>
      <c r="N412" s="3"/>
      <c r="O412" s="3"/>
      <c r="P412" s="3"/>
      <c r="Q412" s="3"/>
      <c r="R412" s="3"/>
      <c r="S412" s="3"/>
      <c r="T412" s="3"/>
      <c r="U412" s="3"/>
      <c r="V412" s="3"/>
      <c r="W412" s="10" t="str">
        <f>IF( J412="s.i", "s.i", IF(ISBLANK(J412),"Actualizando información",IFERROR(J412 / VLOOKUP(A412,Deflactor!$G$3:$H$64,2,0),"Revisar error" )))</f>
        <v>Actualizando información</v>
      </c>
    </row>
    <row r="413" spans="1:23" x14ac:dyDescent="0.25">
      <c r="A413" s="3">
        <v>2005</v>
      </c>
      <c r="B413" s="3" t="s">
        <v>508</v>
      </c>
      <c r="C413" s="3" t="s">
        <v>7</v>
      </c>
      <c r="D413" s="3" t="s">
        <v>8</v>
      </c>
      <c r="E413" s="3" t="s">
        <v>214</v>
      </c>
      <c r="F413" s="3" t="s">
        <v>329</v>
      </c>
      <c r="G413" s="3"/>
      <c r="H413" s="12"/>
      <c r="I413" s="13"/>
      <c r="J413" s="10"/>
      <c r="K413" s="3"/>
      <c r="L413" s="3"/>
      <c r="M413" s="3"/>
      <c r="N413" s="3"/>
      <c r="O413" s="3"/>
      <c r="P413" s="3"/>
      <c r="Q413" s="3"/>
      <c r="R413" s="3"/>
      <c r="S413" s="3"/>
      <c r="T413" s="3"/>
      <c r="U413" s="3"/>
      <c r="V413" s="3"/>
      <c r="W413" s="10" t="str">
        <f>IF( J413="s.i", "s.i", IF(ISBLANK(J413),"Actualizando información",IFERROR(J413 / VLOOKUP(A413,Deflactor!$G$3:$H$64,2,0),"Revisar error" )))</f>
        <v>Actualizando información</v>
      </c>
    </row>
    <row r="414" spans="1:23" x14ac:dyDescent="0.25">
      <c r="A414" s="3">
        <v>2005</v>
      </c>
      <c r="B414" s="3" t="s">
        <v>252</v>
      </c>
      <c r="C414" s="3" t="s">
        <v>7</v>
      </c>
      <c r="D414" s="3" t="s">
        <v>8</v>
      </c>
      <c r="E414" s="3" t="s">
        <v>51</v>
      </c>
      <c r="F414" s="3" t="s">
        <v>329</v>
      </c>
      <c r="G414" s="3"/>
      <c r="H414" s="12"/>
      <c r="I414" s="13"/>
      <c r="J414" s="10"/>
      <c r="K414" s="3"/>
      <c r="L414" s="3"/>
      <c r="M414" s="3"/>
      <c r="N414" s="3"/>
      <c r="O414" s="3"/>
      <c r="P414" s="3"/>
      <c r="Q414" s="3"/>
      <c r="R414" s="3"/>
      <c r="S414" s="3"/>
      <c r="T414" s="3"/>
      <c r="U414" s="3" t="s">
        <v>252</v>
      </c>
      <c r="V414" s="3"/>
      <c r="W414" s="10" t="str">
        <f>IF( J414="s.i", "s.i", IF(ISBLANK(J414),"Actualizando información",IFERROR(J414 / VLOOKUP(A414,Deflactor!$G$3:$H$64,2,0),"Revisar error" )))</f>
        <v>Actualizando información</v>
      </c>
    </row>
    <row r="415" spans="1:23" x14ac:dyDescent="0.25">
      <c r="A415" s="3">
        <v>2005</v>
      </c>
      <c r="B415" s="3" t="s">
        <v>509</v>
      </c>
      <c r="C415" s="3" t="s">
        <v>92</v>
      </c>
      <c r="D415" s="3" t="s">
        <v>8</v>
      </c>
      <c r="E415" s="3" t="s">
        <v>214</v>
      </c>
      <c r="F415" s="3" t="s">
        <v>310</v>
      </c>
      <c r="G415" s="3"/>
      <c r="H415" s="12"/>
      <c r="I415" s="13"/>
      <c r="J415" s="10"/>
      <c r="K415" s="3"/>
      <c r="L415" s="3"/>
      <c r="M415" s="3"/>
      <c r="N415" s="3"/>
      <c r="O415" s="3"/>
      <c r="P415" s="3"/>
      <c r="Q415" s="3"/>
      <c r="R415" s="3"/>
      <c r="S415" s="3"/>
      <c r="T415" s="3"/>
      <c r="U415" s="3"/>
      <c r="V415" s="3"/>
      <c r="W415" s="10" t="str">
        <f>IF( J415="s.i", "s.i", IF(ISBLANK(J415),"Actualizando información",IFERROR(J415 / VLOOKUP(A415,Deflactor!$G$3:$H$64,2,0),"Revisar error" )))</f>
        <v>Actualizando información</v>
      </c>
    </row>
    <row r="416" spans="1:23" x14ac:dyDescent="0.25">
      <c r="A416" s="3">
        <v>2005</v>
      </c>
      <c r="B416" s="3" t="s">
        <v>510</v>
      </c>
      <c r="C416" s="3" t="s">
        <v>7</v>
      </c>
      <c r="D416" s="3" t="s">
        <v>216</v>
      </c>
      <c r="E416" s="3" t="s">
        <v>475</v>
      </c>
      <c r="F416" s="3" t="s">
        <v>310</v>
      </c>
      <c r="G416" s="3"/>
      <c r="H416" s="12"/>
      <c r="I416" s="13"/>
      <c r="J416" s="10"/>
      <c r="K416" s="3"/>
      <c r="L416" s="3"/>
      <c r="M416" s="3"/>
      <c r="N416" s="3"/>
      <c r="O416" s="3"/>
      <c r="P416" s="3"/>
      <c r="Q416" s="3"/>
      <c r="R416" s="3"/>
      <c r="S416" s="3"/>
      <c r="T416" s="3"/>
      <c r="U416" s="3"/>
      <c r="V416" s="3"/>
      <c r="W416" s="10" t="str">
        <f>IF( J416="s.i", "s.i", IF(ISBLANK(J416),"Actualizando información",IFERROR(J416 / VLOOKUP(A416,Deflactor!$G$3:$H$64,2,0),"Revisar error" )))</f>
        <v>Actualizando información</v>
      </c>
    </row>
    <row r="417" spans="1:23" x14ac:dyDescent="0.25">
      <c r="A417" s="3">
        <v>2005</v>
      </c>
      <c r="B417" s="3" t="s">
        <v>511</v>
      </c>
      <c r="C417" s="3" t="s">
        <v>92</v>
      </c>
      <c r="D417" s="3" t="s">
        <v>36</v>
      </c>
      <c r="E417" s="3" t="s">
        <v>37</v>
      </c>
      <c r="F417" s="3" t="s">
        <v>329</v>
      </c>
      <c r="G417" s="3"/>
      <c r="H417" s="12"/>
      <c r="I417" s="13"/>
      <c r="J417" s="10"/>
      <c r="K417" s="3"/>
      <c r="L417" s="3"/>
      <c r="M417" s="3"/>
      <c r="N417" s="3"/>
      <c r="O417" s="3"/>
      <c r="P417" s="3"/>
      <c r="Q417" s="3"/>
      <c r="R417" s="3"/>
      <c r="S417" s="3"/>
      <c r="T417" s="3"/>
      <c r="U417" s="3"/>
      <c r="V417" s="3"/>
      <c r="W417" s="10" t="str">
        <f>IF( J417="s.i", "s.i", IF(ISBLANK(J417),"Actualizando información",IFERROR(J417 / VLOOKUP(A417,Deflactor!$G$3:$H$64,2,0),"Revisar error" )))</f>
        <v>Actualizando información</v>
      </c>
    </row>
    <row r="418" spans="1:23" x14ac:dyDescent="0.25">
      <c r="A418" s="3">
        <v>2005</v>
      </c>
      <c r="B418" s="3" t="s">
        <v>512</v>
      </c>
      <c r="C418" s="3" t="s">
        <v>7</v>
      </c>
      <c r="D418" s="3" t="s">
        <v>36</v>
      </c>
      <c r="E418" s="3" t="s">
        <v>130</v>
      </c>
      <c r="F418" s="3" t="s">
        <v>351</v>
      </c>
      <c r="G418" s="3"/>
      <c r="H418" s="12"/>
      <c r="I418" s="13"/>
      <c r="J418" s="10"/>
      <c r="K418" s="3"/>
      <c r="L418" s="3"/>
      <c r="M418" s="3"/>
      <c r="N418" s="3"/>
      <c r="O418" s="3"/>
      <c r="P418" s="3"/>
      <c r="Q418" s="3"/>
      <c r="R418" s="3"/>
      <c r="S418" s="3"/>
      <c r="T418" s="3"/>
      <c r="U418" s="3"/>
      <c r="V418" s="3"/>
      <c r="W418" s="10" t="str">
        <f>IF( J418="s.i", "s.i", IF(ISBLANK(J418),"Actualizando información",IFERROR(J418 / VLOOKUP(A418,Deflactor!$G$3:$H$64,2,0),"Revisar error" )))</f>
        <v>Actualizando información</v>
      </c>
    </row>
    <row r="419" spans="1:23" x14ac:dyDescent="0.25">
      <c r="A419" s="3">
        <v>2005</v>
      </c>
      <c r="B419" s="3" t="s">
        <v>513</v>
      </c>
      <c r="C419" s="3" t="s">
        <v>92</v>
      </c>
      <c r="D419" s="3" t="s">
        <v>36</v>
      </c>
      <c r="E419" s="3" t="s">
        <v>81</v>
      </c>
      <c r="F419" s="3" t="s">
        <v>329</v>
      </c>
      <c r="G419" s="3"/>
      <c r="H419" s="12"/>
      <c r="I419" s="13"/>
      <c r="J419" s="10"/>
      <c r="K419" s="3"/>
      <c r="L419" s="3"/>
      <c r="M419" s="3"/>
      <c r="N419" s="3"/>
      <c r="O419" s="3"/>
      <c r="P419" s="3"/>
      <c r="Q419" s="3"/>
      <c r="R419" s="3"/>
      <c r="S419" s="3"/>
      <c r="T419" s="3"/>
      <c r="U419" s="3"/>
      <c r="V419" s="3"/>
      <c r="W419" s="10" t="str">
        <f>IF( J419="s.i", "s.i", IF(ISBLANK(J419),"Actualizando información",IFERROR(J419 / VLOOKUP(A419,Deflactor!$G$3:$H$64,2,0),"Revisar error" )))</f>
        <v>Actualizando información</v>
      </c>
    </row>
    <row r="420" spans="1:23" x14ac:dyDescent="0.25">
      <c r="A420" s="3">
        <v>2005</v>
      </c>
      <c r="B420" s="3" t="s">
        <v>514</v>
      </c>
      <c r="C420" s="3" t="s">
        <v>7</v>
      </c>
      <c r="D420" s="3" t="s">
        <v>71</v>
      </c>
      <c r="E420" s="3" t="s">
        <v>167</v>
      </c>
      <c r="F420" s="3" t="s">
        <v>351</v>
      </c>
      <c r="G420" s="3"/>
      <c r="H420" s="12"/>
      <c r="I420" s="13"/>
      <c r="J420" s="10"/>
      <c r="K420" s="3"/>
      <c r="L420" s="3"/>
      <c r="M420" s="3"/>
      <c r="N420" s="3"/>
      <c r="O420" s="3"/>
      <c r="P420" s="3"/>
      <c r="Q420" s="3"/>
      <c r="R420" s="3"/>
      <c r="S420" s="3"/>
      <c r="T420" s="3"/>
      <c r="U420" s="3"/>
      <c r="V420" s="3"/>
      <c r="W420" s="10" t="str">
        <f>IF( J420="s.i", "s.i", IF(ISBLANK(J420),"Actualizando información",IFERROR(J420 / VLOOKUP(A420,Deflactor!$G$3:$H$64,2,0),"Revisar error" )))</f>
        <v>Actualizando información</v>
      </c>
    </row>
    <row r="421" spans="1:23" x14ac:dyDescent="0.25">
      <c r="A421" s="3">
        <v>2004</v>
      </c>
      <c r="B421" s="3" t="s">
        <v>515</v>
      </c>
      <c r="C421" s="3" t="s">
        <v>7</v>
      </c>
      <c r="D421" s="3" t="s">
        <v>25</v>
      </c>
      <c r="E421" s="3" t="s">
        <v>409</v>
      </c>
      <c r="F421" s="3" t="s">
        <v>329</v>
      </c>
      <c r="G421" s="3"/>
      <c r="H421" s="12"/>
      <c r="I421" s="13"/>
      <c r="J421" s="10"/>
      <c r="K421" s="3"/>
      <c r="L421" s="3"/>
      <c r="M421" s="3"/>
      <c r="N421" s="3"/>
      <c r="O421" s="3"/>
      <c r="P421" s="3"/>
      <c r="Q421" s="3"/>
      <c r="R421" s="3"/>
      <c r="S421" s="3"/>
      <c r="T421" s="3"/>
      <c r="U421" s="3"/>
      <c r="V421" s="3"/>
      <c r="W421" s="10" t="str">
        <f>IF( J421="s.i", "s.i", IF(ISBLANK(J421),"Actualizando información",IFERROR(J421 / VLOOKUP(A421,Deflactor!$G$3:$H$64,2,0),"Revisar error" )))</f>
        <v>Actualizando información</v>
      </c>
    </row>
    <row r="422" spans="1:23" x14ac:dyDescent="0.25">
      <c r="A422" s="3">
        <v>2004</v>
      </c>
      <c r="B422" s="3" t="s">
        <v>516</v>
      </c>
      <c r="C422" s="3" t="s">
        <v>7</v>
      </c>
      <c r="D422" s="3" t="s">
        <v>45</v>
      </c>
      <c r="E422" s="3" t="s">
        <v>517</v>
      </c>
      <c r="F422" s="3" t="s">
        <v>329</v>
      </c>
      <c r="G422" s="3"/>
      <c r="H422" s="12"/>
      <c r="I422" s="13"/>
      <c r="J422" s="10"/>
      <c r="K422" s="3"/>
      <c r="L422" s="3"/>
      <c r="M422" s="3"/>
      <c r="N422" s="3"/>
      <c r="O422" s="3"/>
      <c r="P422" s="3"/>
      <c r="Q422" s="3"/>
      <c r="R422" s="3"/>
      <c r="S422" s="3"/>
      <c r="T422" s="3"/>
      <c r="U422" s="3"/>
      <c r="V422" s="3"/>
      <c r="W422" s="10" t="str">
        <f>IF( J422="s.i", "s.i", IF(ISBLANK(J422),"Actualizando información",IFERROR(J422 / VLOOKUP(A422,Deflactor!$G$3:$H$64,2,0),"Revisar error" )))</f>
        <v>Actualizando información</v>
      </c>
    </row>
    <row r="423" spans="1:23" x14ac:dyDescent="0.25">
      <c r="A423" s="3">
        <v>2004</v>
      </c>
      <c r="B423" s="3" t="s">
        <v>518</v>
      </c>
      <c r="C423" s="3" t="s">
        <v>7</v>
      </c>
      <c r="D423" s="3" t="s">
        <v>45</v>
      </c>
      <c r="E423" s="3" t="s">
        <v>519</v>
      </c>
      <c r="F423" s="3" t="s">
        <v>399</v>
      </c>
      <c r="G423" s="3"/>
      <c r="H423" s="12"/>
      <c r="I423" s="13"/>
      <c r="J423" s="10"/>
      <c r="K423" s="3"/>
      <c r="L423" s="3"/>
      <c r="M423" s="3"/>
      <c r="N423" s="3"/>
      <c r="O423" s="3"/>
      <c r="P423" s="3"/>
      <c r="Q423" s="3"/>
      <c r="R423" s="3"/>
      <c r="S423" s="3"/>
      <c r="T423" s="3"/>
      <c r="U423" s="3"/>
      <c r="V423" s="3"/>
      <c r="W423" s="10" t="str">
        <f>IF( J423="s.i", "s.i", IF(ISBLANK(J423),"Actualizando información",IFERROR(J423 / VLOOKUP(A423,Deflactor!$G$3:$H$64,2,0),"Revisar error" )))</f>
        <v>Actualizando información</v>
      </c>
    </row>
    <row r="424" spans="1:23" x14ac:dyDescent="0.25">
      <c r="A424" s="3">
        <v>2004</v>
      </c>
      <c r="B424" s="3" t="s">
        <v>520</v>
      </c>
      <c r="C424" s="3" t="s">
        <v>7</v>
      </c>
      <c r="D424" s="3" t="s">
        <v>25</v>
      </c>
      <c r="E424" s="3" t="s">
        <v>26</v>
      </c>
      <c r="F424" s="3" t="s">
        <v>310</v>
      </c>
      <c r="G424" s="3"/>
      <c r="H424" s="12"/>
      <c r="I424" s="13"/>
      <c r="J424" s="10"/>
      <c r="K424" s="3"/>
      <c r="L424" s="3"/>
      <c r="M424" s="3"/>
      <c r="N424" s="3"/>
      <c r="O424" s="3"/>
      <c r="P424" s="3"/>
      <c r="Q424" s="3"/>
      <c r="R424" s="3"/>
      <c r="S424" s="3"/>
      <c r="T424" s="3"/>
      <c r="U424" s="3"/>
      <c r="V424" s="3"/>
      <c r="W424" s="10" t="str">
        <f>IF( J424="s.i", "s.i", IF(ISBLANK(J424),"Actualizando información",IFERROR(J424 / VLOOKUP(A424,Deflactor!$G$3:$H$64,2,0),"Revisar error" )))</f>
        <v>Actualizando información</v>
      </c>
    </row>
    <row r="425" spans="1:23" x14ac:dyDescent="0.25">
      <c r="A425" s="3">
        <v>2004</v>
      </c>
      <c r="B425" s="3" t="s">
        <v>521</v>
      </c>
      <c r="C425" s="3" t="s">
        <v>7</v>
      </c>
      <c r="D425" s="3" t="s">
        <v>36</v>
      </c>
      <c r="E425" s="3" t="s">
        <v>37</v>
      </c>
      <c r="F425" s="3" t="s">
        <v>329</v>
      </c>
      <c r="G425" s="3"/>
      <c r="H425" s="12"/>
      <c r="I425" s="13"/>
      <c r="J425" s="10"/>
      <c r="K425" s="3"/>
      <c r="L425" s="3"/>
      <c r="M425" s="3"/>
      <c r="N425" s="3"/>
      <c r="O425" s="3"/>
      <c r="P425" s="3"/>
      <c r="Q425" s="3"/>
      <c r="R425" s="3"/>
      <c r="S425" s="3"/>
      <c r="T425" s="3"/>
      <c r="U425" s="3"/>
      <c r="V425" s="3"/>
      <c r="W425" s="10" t="str">
        <f>IF( J425="s.i", "s.i", IF(ISBLANK(J425),"Actualizando información",IFERROR(J425 / VLOOKUP(A425,Deflactor!$G$3:$H$64,2,0),"Revisar error" )))</f>
        <v>Actualizando información</v>
      </c>
    </row>
    <row r="426" spans="1:23" x14ac:dyDescent="0.25">
      <c r="A426" s="3">
        <v>2004</v>
      </c>
      <c r="B426" s="3" t="s">
        <v>522</v>
      </c>
      <c r="C426" s="3" t="s">
        <v>7</v>
      </c>
      <c r="D426" s="3" t="s">
        <v>36</v>
      </c>
      <c r="E426" s="3" t="s">
        <v>81</v>
      </c>
      <c r="F426" s="3" t="s">
        <v>351</v>
      </c>
      <c r="G426" s="3"/>
      <c r="H426" s="12"/>
      <c r="I426" s="13"/>
      <c r="J426" s="10"/>
      <c r="K426" s="3"/>
      <c r="L426" s="3"/>
      <c r="M426" s="3"/>
      <c r="N426" s="3"/>
      <c r="O426" s="3"/>
      <c r="P426" s="3"/>
      <c r="Q426" s="3"/>
      <c r="R426" s="3"/>
      <c r="S426" s="3"/>
      <c r="T426" s="3"/>
      <c r="U426" s="3"/>
      <c r="V426" s="3"/>
      <c r="W426" s="10" t="str">
        <f>IF( J426="s.i", "s.i", IF(ISBLANK(J426),"Actualizando información",IFERROR(J426 / VLOOKUP(A426,Deflactor!$G$3:$H$64,2,0),"Revisar error" )))</f>
        <v>Actualizando información</v>
      </c>
    </row>
    <row r="427" spans="1:23" x14ac:dyDescent="0.25">
      <c r="A427" s="3">
        <v>2004</v>
      </c>
      <c r="B427" s="3" t="s">
        <v>523</v>
      </c>
      <c r="C427" s="3" t="s">
        <v>7</v>
      </c>
      <c r="D427" s="3" t="s">
        <v>444</v>
      </c>
      <c r="E427" s="3" t="s">
        <v>524</v>
      </c>
      <c r="F427" s="3" t="s">
        <v>329</v>
      </c>
      <c r="G427" s="3"/>
      <c r="H427" s="12"/>
      <c r="I427" s="13"/>
      <c r="J427" s="10"/>
      <c r="K427" s="3"/>
      <c r="L427" s="3"/>
      <c r="M427" s="3"/>
      <c r="N427" s="3"/>
      <c r="O427" s="3"/>
      <c r="P427" s="3"/>
      <c r="Q427" s="3"/>
      <c r="R427" s="3"/>
      <c r="S427" s="3"/>
      <c r="T427" s="3"/>
      <c r="U427" s="3"/>
      <c r="V427" s="3"/>
      <c r="W427" s="10" t="str">
        <f>IF( J427="s.i", "s.i", IF(ISBLANK(J427),"Actualizando información",IFERROR(J427 / VLOOKUP(A427,Deflactor!$G$3:$H$64,2,0),"Revisar error" )))</f>
        <v>Actualizando información</v>
      </c>
    </row>
    <row r="428" spans="1:23" x14ac:dyDescent="0.25">
      <c r="A428" s="3">
        <v>2004</v>
      </c>
      <c r="B428" s="3" t="s">
        <v>525</v>
      </c>
      <c r="C428" s="3" t="s">
        <v>7</v>
      </c>
      <c r="D428" s="3" t="s">
        <v>290</v>
      </c>
      <c r="E428" s="3" t="s">
        <v>21</v>
      </c>
      <c r="F428" s="3" t="s">
        <v>310</v>
      </c>
      <c r="G428" s="3"/>
      <c r="H428" s="12"/>
      <c r="I428" s="13"/>
      <c r="J428" s="10"/>
      <c r="K428" s="3"/>
      <c r="L428" s="3"/>
      <c r="M428" s="3"/>
      <c r="N428" s="3"/>
      <c r="O428" s="3"/>
      <c r="P428" s="3"/>
      <c r="Q428" s="3"/>
      <c r="R428" s="3"/>
      <c r="S428" s="3"/>
      <c r="T428" s="3"/>
      <c r="U428" s="3"/>
      <c r="V428" s="3"/>
      <c r="W428" s="10" t="str">
        <f>IF( J428="s.i", "s.i", IF(ISBLANK(J428),"Actualizando información",IFERROR(J428 / VLOOKUP(A428,Deflactor!$G$3:$H$64,2,0),"Revisar error" )))</f>
        <v>Actualizando información</v>
      </c>
    </row>
    <row r="429" spans="1:23" x14ac:dyDescent="0.25">
      <c r="A429" s="3">
        <v>2004</v>
      </c>
      <c r="B429" s="3" t="s">
        <v>526</v>
      </c>
      <c r="C429" s="3" t="s">
        <v>7</v>
      </c>
      <c r="D429" s="3" t="s">
        <v>71</v>
      </c>
      <c r="E429" s="3" t="s">
        <v>167</v>
      </c>
      <c r="F429" s="3" t="s">
        <v>310</v>
      </c>
      <c r="G429" s="3"/>
      <c r="H429" s="12"/>
      <c r="I429" s="13"/>
      <c r="J429" s="10"/>
      <c r="K429" s="3"/>
      <c r="L429" s="3"/>
      <c r="M429" s="3"/>
      <c r="N429" s="3"/>
      <c r="O429" s="3"/>
      <c r="P429" s="3"/>
      <c r="Q429" s="3"/>
      <c r="R429" s="3"/>
      <c r="S429" s="3"/>
      <c r="T429" s="3"/>
      <c r="U429" s="3"/>
      <c r="V429" s="3"/>
      <c r="W429" s="10" t="str">
        <f>IF( J429="s.i", "s.i", IF(ISBLANK(J429),"Actualizando información",IFERROR(J429 / VLOOKUP(A429,Deflactor!$G$3:$H$64,2,0),"Revisar error" )))</f>
        <v>Actualizando información</v>
      </c>
    </row>
    <row r="430" spans="1:23" x14ac:dyDescent="0.25">
      <c r="A430" s="3">
        <v>2004</v>
      </c>
      <c r="B430" s="3" t="s">
        <v>527</v>
      </c>
      <c r="C430" s="3" t="s">
        <v>92</v>
      </c>
      <c r="D430" s="3" t="s">
        <v>64</v>
      </c>
      <c r="E430" s="3" t="s">
        <v>128</v>
      </c>
      <c r="F430" s="3" t="s">
        <v>310</v>
      </c>
      <c r="G430" s="3"/>
      <c r="H430" s="12"/>
      <c r="I430" s="13"/>
      <c r="J430" s="10"/>
      <c r="K430" s="3"/>
      <c r="L430" s="3"/>
      <c r="M430" s="3"/>
      <c r="N430" s="3"/>
      <c r="O430" s="3"/>
      <c r="P430" s="3"/>
      <c r="Q430" s="3"/>
      <c r="R430" s="3"/>
      <c r="S430" s="3"/>
      <c r="T430" s="3"/>
      <c r="U430" s="3"/>
      <c r="V430" s="3"/>
      <c r="W430" s="10" t="str">
        <f>IF( J430="s.i", "s.i", IF(ISBLANK(J430),"Actualizando información",IFERROR(J430 / VLOOKUP(A430,Deflactor!$G$3:$H$64,2,0),"Revisar error" )))</f>
        <v>Actualizando información</v>
      </c>
    </row>
    <row r="431" spans="1:23" x14ac:dyDescent="0.25">
      <c r="A431" s="3">
        <v>2004</v>
      </c>
      <c r="B431" s="3" t="s">
        <v>528</v>
      </c>
      <c r="C431" s="3" t="s">
        <v>92</v>
      </c>
      <c r="D431" s="3" t="s">
        <v>12</v>
      </c>
      <c r="E431" s="3" t="s">
        <v>13</v>
      </c>
      <c r="F431" s="3" t="s">
        <v>310</v>
      </c>
      <c r="G431" s="3"/>
      <c r="H431" s="12"/>
      <c r="I431" s="13"/>
      <c r="J431" s="10"/>
      <c r="K431" s="3"/>
      <c r="L431" s="3"/>
      <c r="M431" s="3"/>
      <c r="N431" s="3"/>
      <c r="O431" s="3"/>
      <c r="P431" s="3"/>
      <c r="Q431" s="3"/>
      <c r="R431" s="3"/>
      <c r="S431" s="3"/>
      <c r="T431" s="3"/>
      <c r="U431" s="3"/>
      <c r="V431" s="3"/>
      <c r="W431" s="10" t="str">
        <f>IF( J431="s.i", "s.i", IF(ISBLANK(J431),"Actualizando información",IFERROR(J431 / VLOOKUP(A431,Deflactor!$G$3:$H$64,2,0),"Revisar error" )))</f>
        <v>Actualizando información</v>
      </c>
    </row>
    <row r="432" spans="1:23" x14ac:dyDescent="0.25">
      <c r="A432" s="3">
        <v>2004</v>
      </c>
      <c r="B432" s="3" t="s">
        <v>529</v>
      </c>
      <c r="C432" s="3" t="s">
        <v>92</v>
      </c>
      <c r="D432" s="3" t="s">
        <v>20</v>
      </c>
      <c r="E432" s="3" t="s">
        <v>120</v>
      </c>
      <c r="F432" s="3" t="s">
        <v>329</v>
      </c>
      <c r="G432" s="3"/>
      <c r="H432" s="12"/>
      <c r="I432" s="13"/>
      <c r="J432" s="10"/>
      <c r="K432" s="3"/>
      <c r="L432" s="3"/>
      <c r="M432" s="3"/>
      <c r="N432" s="3"/>
      <c r="O432" s="3"/>
      <c r="P432" s="3"/>
      <c r="Q432" s="3"/>
      <c r="R432" s="3"/>
      <c r="S432" s="3"/>
      <c r="T432" s="3"/>
      <c r="U432" s="3"/>
      <c r="V432" s="3"/>
      <c r="W432" s="10" t="str">
        <f>IF( J432="s.i", "s.i", IF(ISBLANK(J432),"Actualizando información",IFERROR(J432 / VLOOKUP(A432,Deflactor!$G$3:$H$64,2,0),"Revisar error" )))</f>
        <v>Actualizando información</v>
      </c>
    </row>
    <row r="433" spans="1:23" x14ac:dyDescent="0.25">
      <c r="A433" s="3">
        <v>2004</v>
      </c>
      <c r="B433" s="3" t="s">
        <v>530</v>
      </c>
      <c r="C433" s="3" t="s">
        <v>92</v>
      </c>
      <c r="D433" s="3" t="s">
        <v>12</v>
      </c>
      <c r="E433" s="3" t="s">
        <v>61</v>
      </c>
      <c r="F433" s="3" t="s">
        <v>310</v>
      </c>
      <c r="G433" s="3"/>
      <c r="H433" s="12"/>
      <c r="I433" s="13"/>
      <c r="J433" s="10"/>
      <c r="K433" s="3"/>
      <c r="L433" s="3"/>
      <c r="M433" s="3"/>
      <c r="N433" s="3"/>
      <c r="O433" s="3"/>
      <c r="P433" s="3"/>
      <c r="Q433" s="3"/>
      <c r="R433" s="3"/>
      <c r="S433" s="3"/>
      <c r="T433" s="3"/>
      <c r="U433" s="3"/>
      <c r="V433" s="3"/>
      <c r="W433" s="10" t="str">
        <f>IF( J433="s.i", "s.i", IF(ISBLANK(J433),"Actualizando información",IFERROR(J433 / VLOOKUP(A433,Deflactor!$G$3:$H$64,2,0),"Revisar error" )))</f>
        <v>Actualizando información</v>
      </c>
    </row>
    <row r="434" spans="1:23" x14ac:dyDescent="0.25">
      <c r="A434" s="3">
        <v>2004</v>
      </c>
      <c r="B434" s="3" t="s">
        <v>531</v>
      </c>
      <c r="C434" s="3" t="s">
        <v>92</v>
      </c>
      <c r="D434" s="3" t="s">
        <v>8</v>
      </c>
      <c r="E434" s="3" t="s">
        <v>214</v>
      </c>
      <c r="F434" s="3" t="s">
        <v>310</v>
      </c>
      <c r="G434" s="3"/>
      <c r="H434" s="12"/>
      <c r="I434" s="13"/>
      <c r="J434" s="10"/>
      <c r="K434" s="3"/>
      <c r="L434" s="3"/>
      <c r="M434" s="3"/>
      <c r="N434" s="3"/>
      <c r="O434" s="3"/>
      <c r="P434" s="3"/>
      <c r="Q434" s="3"/>
      <c r="R434" s="3"/>
      <c r="S434" s="3"/>
      <c r="T434" s="3"/>
      <c r="U434" s="3"/>
      <c r="V434" s="3"/>
      <c r="W434" s="10" t="str">
        <f>IF( J434="s.i", "s.i", IF(ISBLANK(J434),"Actualizando información",IFERROR(J434 / VLOOKUP(A434,Deflactor!$G$3:$H$64,2,0),"Revisar error" )))</f>
        <v>Actualizando información</v>
      </c>
    </row>
    <row r="435" spans="1:23" x14ac:dyDescent="0.25">
      <c r="A435" s="3">
        <v>2004</v>
      </c>
      <c r="B435" s="3" t="s">
        <v>532</v>
      </c>
      <c r="C435" s="3" t="s">
        <v>155</v>
      </c>
      <c r="D435" s="3" t="s">
        <v>290</v>
      </c>
      <c r="E435" s="3" t="s">
        <v>120</v>
      </c>
      <c r="F435" s="3" t="s">
        <v>157</v>
      </c>
      <c r="G435" s="3"/>
      <c r="H435" s="12"/>
      <c r="I435" s="13"/>
      <c r="J435" s="10"/>
      <c r="K435" s="3"/>
      <c r="L435" s="3"/>
      <c r="M435" s="3"/>
      <c r="N435" s="3"/>
      <c r="O435" s="3"/>
      <c r="P435" s="3"/>
      <c r="Q435" s="3"/>
      <c r="R435" s="3"/>
      <c r="S435" s="3"/>
      <c r="T435" s="3"/>
      <c r="U435" s="3"/>
      <c r="V435" s="3"/>
      <c r="W435" s="10" t="str">
        <f>IF( J435="s.i", "s.i", IF(ISBLANK(J435),"Actualizando información",IFERROR(J435 / VLOOKUP(A435,Deflactor!$G$3:$H$64,2,0),"Revisar error" )))</f>
        <v>Actualizando información</v>
      </c>
    </row>
    <row r="436" spans="1:23" x14ac:dyDescent="0.25">
      <c r="A436" s="3">
        <v>2004</v>
      </c>
      <c r="B436" s="3" t="s">
        <v>533</v>
      </c>
      <c r="C436" s="3" t="s">
        <v>7</v>
      </c>
      <c r="D436" s="3" t="s">
        <v>233</v>
      </c>
      <c r="E436" s="3" t="s">
        <v>234</v>
      </c>
      <c r="F436" s="3" t="s">
        <v>329</v>
      </c>
      <c r="G436" s="3"/>
      <c r="H436" s="12"/>
      <c r="I436" s="13"/>
      <c r="J436" s="10"/>
      <c r="K436" s="3"/>
      <c r="L436" s="3"/>
      <c r="M436" s="3"/>
      <c r="N436" s="3"/>
      <c r="O436" s="3"/>
      <c r="P436" s="3"/>
      <c r="Q436" s="3"/>
      <c r="R436" s="3"/>
      <c r="S436" s="3"/>
      <c r="T436" s="3"/>
      <c r="U436" s="3"/>
      <c r="V436" s="3"/>
      <c r="W436" s="10" t="str">
        <f>IF( J436="s.i", "s.i", IF(ISBLANK(J436),"Actualizando información",IFERROR(J436 / VLOOKUP(A436,Deflactor!$G$3:$H$64,2,0),"Revisar error" )))</f>
        <v>Actualizando información</v>
      </c>
    </row>
    <row r="437" spans="1:23" x14ac:dyDescent="0.25">
      <c r="A437" s="3">
        <v>2004</v>
      </c>
      <c r="B437" s="3" t="s">
        <v>534</v>
      </c>
      <c r="C437" s="3" t="s">
        <v>7</v>
      </c>
      <c r="D437" s="3" t="s">
        <v>32</v>
      </c>
      <c r="E437" s="3" t="s">
        <v>33</v>
      </c>
      <c r="F437" s="3" t="s">
        <v>399</v>
      </c>
      <c r="G437" s="3"/>
      <c r="H437" s="12"/>
      <c r="I437" s="13"/>
      <c r="J437" s="10"/>
      <c r="K437" s="3"/>
      <c r="L437" s="3"/>
      <c r="M437" s="3"/>
      <c r="N437" s="3"/>
      <c r="O437" s="3"/>
      <c r="P437" s="3"/>
      <c r="Q437" s="3"/>
      <c r="R437" s="3"/>
      <c r="S437" s="3"/>
      <c r="T437" s="3"/>
      <c r="U437" s="3"/>
      <c r="V437" s="3"/>
      <c r="W437" s="10" t="str">
        <f>IF( J437="s.i", "s.i", IF(ISBLANK(J437),"Actualizando información",IFERROR(J437 / VLOOKUP(A437,Deflactor!$G$3:$H$64,2,0),"Revisar error" )))</f>
        <v>Actualizando información</v>
      </c>
    </row>
    <row r="438" spans="1:23" x14ac:dyDescent="0.25">
      <c r="A438" s="3">
        <v>2004</v>
      </c>
      <c r="B438" s="3" t="s">
        <v>535</v>
      </c>
      <c r="C438" s="3" t="s">
        <v>92</v>
      </c>
      <c r="D438" s="3" t="s">
        <v>54</v>
      </c>
      <c r="E438" s="3" t="s">
        <v>55</v>
      </c>
      <c r="F438" s="3" t="s">
        <v>329</v>
      </c>
      <c r="G438" s="3"/>
      <c r="H438" s="12"/>
      <c r="I438" s="13"/>
      <c r="J438" s="10"/>
      <c r="K438" s="3"/>
      <c r="L438" s="3"/>
      <c r="M438" s="3"/>
      <c r="N438" s="3"/>
      <c r="O438" s="3"/>
      <c r="P438" s="3"/>
      <c r="Q438" s="3"/>
      <c r="R438" s="3"/>
      <c r="S438" s="3"/>
      <c r="T438" s="3"/>
      <c r="U438" s="3"/>
      <c r="V438" s="3"/>
      <c r="W438" s="10" t="str">
        <f>IF( J438="s.i", "s.i", IF(ISBLANK(J438),"Actualizando información",IFERROR(J438 / VLOOKUP(A438,Deflactor!$G$3:$H$64,2,0),"Revisar error" )))</f>
        <v>Actualizando información</v>
      </c>
    </row>
    <row r="439" spans="1:23" x14ac:dyDescent="0.25">
      <c r="A439" s="3">
        <v>2004</v>
      </c>
      <c r="B439" s="3" t="s">
        <v>536</v>
      </c>
      <c r="C439" s="3" t="s">
        <v>92</v>
      </c>
      <c r="D439" s="3" t="s">
        <v>54</v>
      </c>
      <c r="E439" s="3" t="s">
        <v>55</v>
      </c>
      <c r="F439" s="3" t="s">
        <v>329</v>
      </c>
      <c r="G439" s="3"/>
      <c r="H439" s="12"/>
      <c r="I439" s="13"/>
      <c r="J439" s="10"/>
      <c r="K439" s="3"/>
      <c r="L439" s="3"/>
      <c r="M439" s="3"/>
      <c r="N439" s="3"/>
      <c r="O439" s="3"/>
      <c r="P439" s="3"/>
      <c r="Q439" s="3"/>
      <c r="R439" s="3"/>
      <c r="S439" s="3"/>
      <c r="T439" s="3"/>
      <c r="U439" s="3"/>
      <c r="V439" s="3"/>
      <c r="W439" s="10" t="str">
        <f>IF( J439="s.i", "s.i", IF(ISBLANK(J439),"Actualizando información",IFERROR(J439 / VLOOKUP(A439,Deflactor!$G$3:$H$64,2,0),"Revisar error" )))</f>
        <v>Actualizando información</v>
      </c>
    </row>
    <row r="440" spans="1:23" x14ac:dyDescent="0.25">
      <c r="A440" s="3">
        <v>2004</v>
      </c>
      <c r="B440" s="3" t="s">
        <v>537</v>
      </c>
      <c r="C440" s="3" t="s">
        <v>92</v>
      </c>
      <c r="D440" s="3" t="s">
        <v>54</v>
      </c>
      <c r="E440" s="3" t="s">
        <v>55</v>
      </c>
      <c r="F440" s="3" t="s">
        <v>329</v>
      </c>
      <c r="G440" s="3"/>
      <c r="H440" s="12"/>
      <c r="I440" s="13"/>
      <c r="J440" s="10"/>
      <c r="K440" s="3"/>
      <c r="L440" s="3"/>
      <c r="M440" s="3"/>
      <c r="N440" s="3"/>
      <c r="O440" s="3"/>
      <c r="P440" s="3"/>
      <c r="Q440" s="3"/>
      <c r="R440" s="3"/>
      <c r="S440" s="3"/>
      <c r="T440" s="3"/>
      <c r="U440" s="3"/>
      <c r="V440" s="3"/>
      <c r="W440" s="10" t="str">
        <f>IF( J440="s.i", "s.i", IF(ISBLANK(J440),"Actualizando información",IFERROR(J440 / VLOOKUP(A440,Deflactor!$G$3:$H$64,2,0),"Revisar error" )))</f>
        <v>Actualizando información</v>
      </c>
    </row>
    <row r="441" spans="1:23" x14ac:dyDescent="0.25">
      <c r="A441" s="3">
        <v>2004</v>
      </c>
      <c r="B441" s="3" t="s">
        <v>538</v>
      </c>
      <c r="C441" s="3" t="s">
        <v>92</v>
      </c>
      <c r="D441" s="3" t="s">
        <v>54</v>
      </c>
      <c r="E441" s="3" t="s">
        <v>55</v>
      </c>
      <c r="F441" s="3" t="s">
        <v>351</v>
      </c>
      <c r="G441" s="3"/>
      <c r="H441" s="12"/>
      <c r="I441" s="13"/>
      <c r="J441" s="10"/>
      <c r="K441" s="3"/>
      <c r="L441" s="3"/>
      <c r="M441" s="3"/>
      <c r="N441" s="3"/>
      <c r="O441" s="3"/>
      <c r="P441" s="3"/>
      <c r="Q441" s="3"/>
      <c r="R441" s="3"/>
      <c r="S441" s="3"/>
      <c r="T441" s="3"/>
      <c r="U441" s="3"/>
      <c r="V441" s="3"/>
      <c r="W441" s="10" t="str">
        <f>IF( J441="s.i", "s.i", IF(ISBLANK(J441),"Actualizando información",IFERROR(J441 / VLOOKUP(A441,Deflactor!$G$3:$H$64,2,0),"Revisar error" )))</f>
        <v>Actualizando información</v>
      </c>
    </row>
    <row r="442" spans="1:23" x14ac:dyDescent="0.25">
      <c r="A442" s="3">
        <v>2004</v>
      </c>
      <c r="B442" s="3" t="s">
        <v>539</v>
      </c>
      <c r="C442" s="3" t="s">
        <v>92</v>
      </c>
      <c r="D442" s="3" t="s">
        <v>54</v>
      </c>
      <c r="E442" s="3" t="s">
        <v>55</v>
      </c>
      <c r="F442" s="3" t="s">
        <v>310</v>
      </c>
      <c r="G442" s="3"/>
      <c r="H442" s="12"/>
      <c r="I442" s="13"/>
      <c r="J442" s="10"/>
      <c r="K442" s="3"/>
      <c r="L442" s="3"/>
      <c r="M442" s="3"/>
      <c r="N442" s="3"/>
      <c r="O442" s="3"/>
      <c r="P442" s="3"/>
      <c r="Q442" s="3"/>
      <c r="R442" s="3"/>
      <c r="S442" s="3"/>
      <c r="T442" s="3"/>
      <c r="U442" s="3"/>
      <c r="V442" s="3"/>
      <c r="W442" s="10" t="str">
        <f>IF( J442="s.i", "s.i", IF(ISBLANK(J442),"Actualizando información",IFERROR(J442 / VLOOKUP(A442,Deflactor!$G$3:$H$64,2,0),"Revisar error" )))</f>
        <v>Actualizando información</v>
      </c>
    </row>
    <row r="443" spans="1:23" x14ac:dyDescent="0.25">
      <c r="A443" s="3">
        <v>2004</v>
      </c>
      <c r="B443" s="3" t="s">
        <v>540</v>
      </c>
      <c r="C443" s="3" t="s">
        <v>92</v>
      </c>
      <c r="D443" s="3" t="s">
        <v>54</v>
      </c>
      <c r="E443" s="3" t="s">
        <v>55</v>
      </c>
      <c r="F443" s="3" t="s">
        <v>351</v>
      </c>
      <c r="G443" s="3"/>
      <c r="H443" s="12"/>
      <c r="I443" s="13"/>
      <c r="J443" s="10"/>
      <c r="K443" s="3"/>
      <c r="L443" s="3"/>
      <c r="M443" s="3"/>
      <c r="N443" s="3"/>
      <c r="O443" s="3"/>
      <c r="P443" s="3"/>
      <c r="Q443" s="3"/>
      <c r="R443" s="3"/>
      <c r="S443" s="3"/>
      <c r="T443" s="3"/>
      <c r="U443" s="3"/>
      <c r="V443" s="3"/>
      <c r="W443" s="10" t="str">
        <f>IF( J443="s.i", "s.i", IF(ISBLANK(J443),"Actualizando información",IFERROR(J443 / VLOOKUP(A443,Deflactor!$G$3:$H$64,2,0),"Revisar error" )))</f>
        <v>Actualizando información</v>
      </c>
    </row>
    <row r="444" spans="1:23" x14ac:dyDescent="0.25">
      <c r="A444" s="3">
        <v>2004</v>
      </c>
      <c r="B444" s="3" t="s">
        <v>541</v>
      </c>
      <c r="C444" s="3" t="s">
        <v>92</v>
      </c>
      <c r="D444" s="3" t="s">
        <v>64</v>
      </c>
      <c r="E444" s="3" t="s">
        <v>65</v>
      </c>
      <c r="F444" s="3" t="s">
        <v>329</v>
      </c>
      <c r="G444" s="3"/>
      <c r="H444" s="12"/>
      <c r="I444" s="13"/>
      <c r="J444" s="10"/>
      <c r="K444" s="3"/>
      <c r="L444" s="3"/>
      <c r="M444" s="3"/>
      <c r="N444" s="3"/>
      <c r="O444" s="3"/>
      <c r="P444" s="3"/>
      <c r="Q444" s="3"/>
      <c r="R444" s="3"/>
      <c r="S444" s="3"/>
      <c r="T444" s="3"/>
      <c r="U444" s="3"/>
      <c r="V444" s="3"/>
      <c r="W444" s="10" t="str">
        <f>IF( J444="s.i", "s.i", IF(ISBLANK(J444),"Actualizando información",IFERROR(J444 / VLOOKUP(A444,Deflactor!$G$3:$H$64,2,0),"Revisar error" )))</f>
        <v>Actualizando información</v>
      </c>
    </row>
    <row r="445" spans="1:23" x14ac:dyDescent="0.25">
      <c r="A445" s="3">
        <v>2004</v>
      </c>
      <c r="B445" s="3" t="s">
        <v>542</v>
      </c>
      <c r="C445" s="3" t="s">
        <v>7</v>
      </c>
      <c r="D445" s="3" t="s">
        <v>64</v>
      </c>
      <c r="E445" s="3" t="s">
        <v>128</v>
      </c>
      <c r="F445" s="3" t="s">
        <v>351</v>
      </c>
      <c r="G445" s="3"/>
      <c r="H445" s="12"/>
      <c r="I445" s="13"/>
      <c r="J445" s="10"/>
      <c r="K445" s="3"/>
      <c r="L445" s="3"/>
      <c r="M445" s="3"/>
      <c r="N445" s="3"/>
      <c r="O445" s="3"/>
      <c r="P445" s="3"/>
      <c r="Q445" s="3"/>
      <c r="R445" s="3"/>
      <c r="S445" s="3"/>
      <c r="T445" s="3"/>
      <c r="U445" s="3"/>
      <c r="V445" s="3"/>
      <c r="W445" s="10" t="str">
        <f>IF( J445="s.i", "s.i", IF(ISBLANK(J445),"Actualizando información",IFERROR(J445 / VLOOKUP(A445,Deflactor!$G$3:$H$64,2,0),"Revisar error" )))</f>
        <v>Actualizando información</v>
      </c>
    </row>
    <row r="446" spans="1:23" x14ac:dyDescent="0.25">
      <c r="A446" s="3">
        <v>2004</v>
      </c>
      <c r="B446" s="3" t="s">
        <v>543</v>
      </c>
      <c r="C446" s="3" t="s">
        <v>155</v>
      </c>
      <c r="D446" s="3" t="s">
        <v>444</v>
      </c>
      <c r="E446" s="3" t="s">
        <v>544</v>
      </c>
      <c r="F446" s="3" t="s">
        <v>157</v>
      </c>
      <c r="G446" s="3"/>
      <c r="H446" s="12"/>
      <c r="I446" s="13"/>
      <c r="J446" s="10"/>
      <c r="K446" s="3"/>
      <c r="L446" s="3"/>
      <c r="M446" s="3"/>
      <c r="N446" s="3"/>
      <c r="O446" s="3"/>
      <c r="P446" s="3"/>
      <c r="Q446" s="3"/>
      <c r="R446" s="3"/>
      <c r="S446" s="3"/>
      <c r="T446" s="3"/>
      <c r="U446" s="3"/>
      <c r="V446" s="3"/>
      <c r="W446" s="10" t="str">
        <f>IF( J446="s.i", "s.i", IF(ISBLANK(J446),"Actualizando información",IFERROR(J446 / VLOOKUP(A446,Deflactor!$G$3:$H$64,2,0),"Revisar error" )))</f>
        <v>Actualizando información</v>
      </c>
    </row>
    <row r="447" spans="1:23" x14ac:dyDescent="0.25">
      <c r="A447" s="3">
        <v>2004</v>
      </c>
      <c r="B447" s="3" t="s">
        <v>545</v>
      </c>
      <c r="C447" s="3" t="s">
        <v>155</v>
      </c>
      <c r="D447" s="3" t="s">
        <v>444</v>
      </c>
      <c r="E447" s="3" t="s">
        <v>546</v>
      </c>
      <c r="F447" s="3" t="s">
        <v>157</v>
      </c>
      <c r="G447" s="3"/>
      <c r="H447" s="12"/>
      <c r="I447" s="13"/>
      <c r="J447" s="10"/>
      <c r="K447" s="3"/>
      <c r="L447" s="3"/>
      <c r="M447" s="3"/>
      <c r="N447" s="3"/>
      <c r="O447" s="3"/>
      <c r="P447" s="3"/>
      <c r="Q447" s="3"/>
      <c r="R447" s="3"/>
      <c r="S447" s="3"/>
      <c r="T447" s="3"/>
      <c r="U447" s="3"/>
      <c r="V447" s="3"/>
      <c r="W447" s="10" t="str">
        <f>IF( J447="s.i", "s.i", IF(ISBLANK(J447),"Actualizando información",IFERROR(J447 / VLOOKUP(A447,Deflactor!$G$3:$H$64,2,0),"Revisar error" )))</f>
        <v>Actualizando información</v>
      </c>
    </row>
    <row r="448" spans="1:23" x14ac:dyDescent="0.25">
      <c r="A448" s="3">
        <v>2004</v>
      </c>
      <c r="B448" s="3" t="s">
        <v>547</v>
      </c>
      <c r="C448" s="3" t="s">
        <v>155</v>
      </c>
      <c r="D448" s="3" t="s">
        <v>444</v>
      </c>
      <c r="E448" s="3" t="s">
        <v>547</v>
      </c>
      <c r="F448" s="3" t="s">
        <v>157</v>
      </c>
      <c r="G448" s="3"/>
      <c r="H448" s="12"/>
      <c r="I448" s="13"/>
      <c r="J448" s="10"/>
      <c r="K448" s="3"/>
      <c r="L448" s="3"/>
      <c r="M448" s="3"/>
      <c r="N448" s="3"/>
      <c r="O448" s="3"/>
      <c r="P448" s="3"/>
      <c r="Q448" s="3"/>
      <c r="R448" s="3"/>
      <c r="S448" s="3"/>
      <c r="T448" s="3"/>
      <c r="U448" s="3"/>
      <c r="V448" s="3"/>
      <c r="W448" s="10" t="str">
        <f>IF( J448="s.i", "s.i", IF(ISBLANK(J448),"Actualizando información",IFERROR(J448 / VLOOKUP(A448,Deflactor!$G$3:$H$64,2,0),"Revisar error" )))</f>
        <v>Actualizando información</v>
      </c>
    </row>
    <row r="449" spans="1:23" x14ac:dyDescent="0.25">
      <c r="A449" s="3">
        <v>2004</v>
      </c>
      <c r="B449" s="3" t="s">
        <v>548</v>
      </c>
      <c r="C449" s="3" t="s">
        <v>92</v>
      </c>
      <c r="D449" s="3" t="s">
        <v>36</v>
      </c>
      <c r="E449" s="3" t="s">
        <v>37</v>
      </c>
      <c r="F449" s="3" t="s">
        <v>351</v>
      </c>
      <c r="G449" s="3"/>
      <c r="H449" s="12"/>
      <c r="I449" s="13"/>
      <c r="J449" s="10"/>
      <c r="K449" s="3"/>
      <c r="L449" s="3"/>
      <c r="M449" s="3"/>
      <c r="N449" s="3"/>
      <c r="O449" s="3"/>
      <c r="P449" s="3"/>
      <c r="Q449" s="3"/>
      <c r="R449" s="3"/>
      <c r="S449" s="3"/>
      <c r="T449" s="3"/>
      <c r="U449" s="3"/>
      <c r="V449" s="3"/>
      <c r="W449" s="10" t="str">
        <f>IF( J449="s.i", "s.i", IF(ISBLANK(J449),"Actualizando información",IFERROR(J449 / VLOOKUP(A449,Deflactor!$G$3:$H$64,2,0),"Revisar error" )))</f>
        <v>Actualizando información</v>
      </c>
    </row>
    <row r="450" spans="1:23" x14ac:dyDescent="0.25">
      <c r="A450" s="3">
        <v>2004</v>
      </c>
      <c r="B450" s="3" t="s">
        <v>549</v>
      </c>
      <c r="C450" s="3" t="s">
        <v>92</v>
      </c>
      <c r="D450" s="3" t="s">
        <v>216</v>
      </c>
      <c r="E450" s="3" t="s">
        <v>456</v>
      </c>
      <c r="F450" s="3" t="s">
        <v>351</v>
      </c>
      <c r="G450" s="3"/>
      <c r="H450" s="12"/>
      <c r="I450" s="13"/>
      <c r="J450" s="10"/>
      <c r="K450" s="3"/>
      <c r="L450" s="3"/>
      <c r="M450" s="3"/>
      <c r="N450" s="3"/>
      <c r="O450" s="3"/>
      <c r="P450" s="3"/>
      <c r="Q450" s="3"/>
      <c r="R450" s="3"/>
      <c r="S450" s="3"/>
      <c r="T450" s="3"/>
      <c r="U450" s="3"/>
      <c r="V450" s="3"/>
      <c r="W450" s="10" t="str">
        <f>IF( J450="s.i", "s.i", IF(ISBLANK(J450),"Actualizando información",IFERROR(J450 / VLOOKUP(A450,Deflactor!$G$3:$H$64,2,0),"Revisar error" )))</f>
        <v>Actualizando información</v>
      </c>
    </row>
    <row r="451" spans="1:23" x14ac:dyDescent="0.25">
      <c r="A451" s="3">
        <v>2004</v>
      </c>
      <c r="B451" s="3" t="s">
        <v>550</v>
      </c>
      <c r="C451" s="3" t="s">
        <v>7</v>
      </c>
      <c r="D451" s="3" t="s">
        <v>25</v>
      </c>
      <c r="E451" s="3" t="s">
        <v>26</v>
      </c>
      <c r="F451" s="3" t="s">
        <v>351</v>
      </c>
      <c r="G451" s="3"/>
      <c r="H451" s="12"/>
      <c r="I451" s="13"/>
      <c r="J451" s="10"/>
      <c r="K451" s="3"/>
      <c r="L451" s="3"/>
      <c r="M451" s="3"/>
      <c r="N451" s="3"/>
      <c r="O451" s="3"/>
      <c r="P451" s="3"/>
      <c r="Q451" s="3"/>
      <c r="R451" s="3"/>
      <c r="S451" s="3"/>
      <c r="T451" s="3"/>
      <c r="U451" s="3"/>
      <c r="V451" s="3"/>
      <c r="W451" s="10" t="str">
        <f>IF( J451="s.i", "s.i", IF(ISBLANK(J451),"Actualizando información",IFERROR(J451 / VLOOKUP(A451,Deflactor!$G$3:$H$64,2,0),"Revisar error" )))</f>
        <v>Actualizando información</v>
      </c>
    </row>
    <row r="452" spans="1:23" x14ac:dyDescent="0.25">
      <c r="A452" s="3">
        <v>2003</v>
      </c>
      <c r="B452" s="3" t="s">
        <v>208</v>
      </c>
      <c r="C452" s="3" t="s">
        <v>7</v>
      </c>
      <c r="D452" s="3" t="s">
        <v>40</v>
      </c>
      <c r="E452" s="3" t="s">
        <v>160</v>
      </c>
      <c r="F452" s="3" t="s">
        <v>329</v>
      </c>
      <c r="G452" s="3"/>
      <c r="H452" s="12"/>
      <c r="I452" s="13"/>
      <c r="J452" s="10"/>
      <c r="K452" s="3"/>
      <c r="L452" s="3"/>
      <c r="M452" s="3"/>
      <c r="N452" s="3"/>
      <c r="O452" s="3"/>
      <c r="P452" s="3"/>
      <c r="Q452" s="3"/>
      <c r="R452" s="3"/>
      <c r="S452" s="3"/>
      <c r="T452" s="3"/>
      <c r="U452" s="3"/>
      <c r="V452" s="3"/>
      <c r="W452" s="10" t="str">
        <f>IF( J452="s.i", "s.i", IF(ISBLANK(J452),"Actualizando información",IFERROR(J452 / VLOOKUP(A452,Deflactor!$G$3:$H$64,2,0),"Revisar error" )))</f>
        <v>Actualizando información</v>
      </c>
    </row>
    <row r="453" spans="1:23" x14ac:dyDescent="0.25">
      <c r="A453" s="3">
        <v>2003</v>
      </c>
      <c r="B453" s="3" t="s">
        <v>551</v>
      </c>
      <c r="C453" s="3" t="s">
        <v>7</v>
      </c>
      <c r="D453" s="3" t="s">
        <v>290</v>
      </c>
      <c r="E453" s="3" t="s">
        <v>552</v>
      </c>
      <c r="F453" s="3" t="s">
        <v>310</v>
      </c>
      <c r="G453" s="3"/>
      <c r="H453" s="12"/>
      <c r="I453" s="13"/>
      <c r="J453" s="10"/>
      <c r="K453" s="3"/>
      <c r="L453" s="3"/>
      <c r="M453" s="3"/>
      <c r="N453" s="3"/>
      <c r="O453" s="3"/>
      <c r="P453" s="3"/>
      <c r="Q453" s="3"/>
      <c r="R453" s="3"/>
      <c r="S453" s="3"/>
      <c r="T453" s="3"/>
      <c r="U453" s="3"/>
      <c r="V453" s="3"/>
      <c r="W453" s="10" t="str">
        <f>IF( J453="s.i", "s.i", IF(ISBLANK(J453),"Actualizando información",IFERROR(J453 / VLOOKUP(A453,Deflactor!$G$3:$H$64,2,0),"Revisar error" )))</f>
        <v>Actualizando información</v>
      </c>
    </row>
    <row r="454" spans="1:23" x14ac:dyDescent="0.25">
      <c r="A454" s="3">
        <v>2003</v>
      </c>
      <c r="B454" s="3" t="s">
        <v>553</v>
      </c>
      <c r="C454" s="3" t="s">
        <v>7</v>
      </c>
      <c r="D454" s="3" t="s">
        <v>290</v>
      </c>
      <c r="E454" s="3" t="s">
        <v>176</v>
      </c>
      <c r="F454" s="3" t="s">
        <v>399</v>
      </c>
      <c r="G454" s="3"/>
      <c r="H454" s="12"/>
      <c r="I454" s="13"/>
      <c r="J454" s="10"/>
      <c r="K454" s="3"/>
      <c r="L454" s="3"/>
      <c r="M454" s="3"/>
      <c r="N454" s="3"/>
      <c r="O454" s="3"/>
      <c r="P454" s="3"/>
      <c r="Q454" s="3"/>
      <c r="R454" s="3"/>
      <c r="S454" s="3"/>
      <c r="T454" s="3"/>
      <c r="U454" s="3"/>
      <c r="V454" s="3"/>
      <c r="W454" s="10" t="str">
        <f>IF( J454="s.i", "s.i", IF(ISBLANK(J454),"Actualizando información",IFERROR(J454 / VLOOKUP(A454,Deflactor!$G$3:$H$64,2,0),"Revisar error" )))</f>
        <v>Actualizando información</v>
      </c>
    </row>
    <row r="455" spans="1:23" x14ac:dyDescent="0.25">
      <c r="A455" s="3">
        <v>2003</v>
      </c>
      <c r="B455" s="3" t="s">
        <v>554</v>
      </c>
      <c r="C455" s="3" t="s">
        <v>7</v>
      </c>
      <c r="D455" s="3" t="s">
        <v>290</v>
      </c>
      <c r="E455" s="3" t="s">
        <v>176</v>
      </c>
      <c r="F455" s="3" t="s">
        <v>310</v>
      </c>
      <c r="G455" s="3"/>
      <c r="H455" s="12"/>
      <c r="I455" s="13"/>
      <c r="J455" s="10"/>
      <c r="K455" s="3"/>
      <c r="L455" s="3"/>
      <c r="M455" s="3"/>
      <c r="N455" s="3"/>
      <c r="O455" s="3"/>
      <c r="P455" s="3"/>
      <c r="Q455" s="3"/>
      <c r="R455" s="3"/>
      <c r="S455" s="3"/>
      <c r="T455" s="3"/>
      <c r="U455" s="3"/>
      <c r="V455" s="3"/>
      <c r="W455" s="10" t="str">
        <f>IF( J455="s.i", "s.i", IF(ISBLANK(J455),"Actualizando información",IFERROR(J455 / VLOOKUP(A455,Deflactor!$G$3:$H$64,2,0),"Revisar error" )))</f>
        <v>Actualizando información</v>
      </c>
    </row>
    <row r="456" spans="1:23" x14ac:dyDescent="0.25">
      <c r="A456" s="3">
        <v>2003</v>
      </c>
      <c r="B456" s="3" t="s">
        <v>555</v>
      </c>
      <c r="C456" s="3" t="s">
        <v>92</v>
      </c>
      <c r="D456" s="3" t="s">
        <v>290</v>
      </c>
      <c r="E456" s="3" t="s">
        <v>120</v>
      </c>
      <c r="F456" s="3" t="s">
        <v>329</v>
      </c>
      <c r="G456" s="3"/>
      <c r="H456" s="12"/>
      <c r="I456" s="13"/>
      <c r="J456" s="10"/>
      <c r="K456" s="3"/>
      <c r="L456" s="3"/>
      <c r="M456" s="3"/>
      <c r="N456" s="3"/>
      <c r="O456" s="3"/>
      <c r="P456" s="3"/>
      <c r="Q456" s="3"/>
      <c r="R456" s="3"/>
      <c r="S456" s="3"/>
      <c r="T456" s="3"/>
      <c r="U456" s="3"/>
      <c r="V456" s="3"/>
      <c r="W456" s="10" t="str">
        <f>IF( J456="s.i", "s.i", IF(ISBLANK(J456),"Actualizando información",IFERROR(J456 / VLOOKUP(A456,Deflactor!$G$3:$H$64,2,0),"Revisar error" )))</f>
        <v>Actualizando información</v>
      </c>
    </row>
    <row r="457" spans="1:23" x14ac:dyDescent="0.25">
      <c r="A457" s="3">
        <v>2003</v>
      </c>
      <c r="B457" s="3" t="s">
        <v>556</v>
      </c>
      <c r="C457" s="3" t="s">
        <v>7</v>
      </c>
      <c r="D457" s="3" t="s">
        <v>233</v>
      </c>
      <c r="E457" s="3" t="s">
        <v>344</v>
      </c>
      <c r="F457" s="3" t="s">
        <v>310</v>
      </c>
      <c r="G457" s="3"/>
      <c r="H457" s="12"/>
      <c r="I457" s="13"/>
      <c r="J457" s="10"/>
      <c r="K457" s="3"/>
      <c r="L457" s="3"/>
      <c r="M457" s="3"/>
      <c r="N457" s="3"/>
      <c r="O457" s="3"/>
      <c r="P457" s="3"/>
      <c r="Q457" s="3"/>
      <c r="R457" s="3"/>
      <c r="S457" s="3"/>
      <c r="T457" s="3"/>
      <c r="U457" s="3"/>
      <c r="V457" s="3"/>
      <c r="W457" s="10" t="str">
        <f>IF( J457="s.i", "s.i", IF(ISBLANK(J457),"Actualizando información",IFERROR(J457 / VLOOKUP(A457,Deflactor!$G$3:$H$64,2,0),"Revisar error" )))</f>
        <v>Actualizando información</v>
      </c>
    </row>
    <row r="458" spans="1:23" x14ac:dyDescent="0.25">
      <c r="A458" s="3">
        <v>2003</v>
      </c>
      <c r="B458" s="3" t="s">
        <v>557</v>
      </c>
      <c r="C458" s="3" t="s">
        <v>7</v>
      </c>
      <c r="D458" s="3" t="s">
        <v>54</v>
      </c>
      <c r="E458" s="3" t="s">
        <v>243</v>
      </c>
      <c r="F458" s="3" t="s">
        <v>329</v>
      </c>
      <c r="G458" s="3"/>
      <c r="H458" s="12"/>
      <c r="I458" s="13"/>
      <c r="J458" s="10"/>
      <c r="K458" s="3"/>
      <c r="L458" s="3"/>
      <c r="M458" s="3"/>
      <c r="N458" s="3"/>
      <c r="O458" s="3"/>
      <c r="P458" s="3"/>
      <c r="Q458" s="3"/>
      <c r="R458" s="3"/>
      <c r="S458" s="3"/>
      <c r="T458" s="3"/>
      <c r="U458" s="3"/>
      <c r="V458" s="3"/>
      <c r="W458" s="10" t="str">
        <f>IF( J458="s.i", "s.i", IF(ISBLANK(J458),"Actualizando información",IFERROR(J458 / VLOOKUP(A458,Deflactor!$G$3:$H$64,2,0),"Revisar error" )))</f>
        <v>Actualizando información</v>
      </c>
    </row>
    <row r="459" spans="1:23" x14ac:dyDescent="0.25">
      <c r="A459" s="3">
        <v>2003</v>
      </c>
      <c r="B459" s="3" t="s">
        <v>558</v>
      </c>
      <c r="C459" s="3" t="s">
        <v>155</v>
      </c>
      <c r="D459" s="3" t="s">
        <v>64</v>
      </c>
      <c r="E459" s="3" t="s">
        <v>65</v>
      </c>
      <c r="F459" s="3" t="s">
        <v>157</v>
      </c>
      <c r="G459" s="3"/>
      <c r="H459" s="12"/>
      <c r="I459" s="13"/>
      <c r="J459" s="10"/>
      <c r="K459" s="3"/>
      <c r="L459" s="3"/>
      <c r="M459" s="3"/>
      <c r="N459" s="3"/>
      <c r="O459" s="3"/>
      <c r="P459" s="3"/>
      <c r="Q459" s="3"/>
      <c r="R459" s="3"/>
      <c r="S459" s="3"/>
      <c r="T459" s="3"/>
      <c r="U459" s="3"/>
      <c r="V459" s="3"/>
      <c r="W459" s="10" t="str">
        <f>IF( J459="s.i", "s.i", IF(ISBLANK(J459),"Actualizando información",IFERROR(J459 / VLOOKUP(A459,Deflactor!$G$3:$H$64,2,0),"Revisar error" )))</f>
        <v>Actualizando información</v>
      </c>
    </row>
    <row r="460" spans="1:23" x14ac:dyDescent="0.25">
      <c r="A460" s="3">
        <v>2003</v>
      </c>
      <c r="B460" s="3" t="s">
        <v>559</v>
      </c>
      <c r="C460" s="3" t="s">
        <v>155</v>
      </c>
      <c r="D460" s="3" t="s">
        <v>444</v>
      </c>
      <c r="E460" s="3" t="s">
        <v>559</v>
      </c>
      <c r="F460" s="3" t="s">
        <v>157</v>
      </c>
      <c r="G460" s="3"/>
      <c r="H460" s="12"/>
      <c r="I460" s="13"/>
      <c r="J460" s="10"/>
      <c r="K460" s="3"/>
      <c r="L460" s="3"/>
      <c r="M460" s="3"/>
      <c r="N460" s="3"/>
      <c r="O460" s="3"/>
      <c r="P460" s="3"/>
      <c r="Q460" s="3"/>
      <c r="R460" s="3"/>
      <c r="S460" s="3"/>
      <c r="T460" s="3"/>
      <c r="U460" s="3"/>
      <c r="V460" s="3"/>
      <c r="W460" s="10" t="str">
        <f>IF( J460="s.i", "s.i", IF(ISBLANK(J460),"Actualizando información",IFERROR(J460 / VLOOKUP(A460,Deflactor!$G$3:$H$64,2,0),"Revisar error" )))</f>
        <v>Actualizando información</v>
      </c>
    </row>
    <row r="461" spans="1:23" x14ac:dyDescent="0.25">
      <c r="A461" s="3">
        <v>2003</v>
      </c>
      <c r="B461" s="3" t="s">
        <v>560</v>
      </c>
      <c r="C461" s="3" t="s">
        <v>7</v>
      </c>
      <c r="D461" s="3" t="s">
        <v>40</v>
      </c>
      <c r="E461" s="3" t="s">
        <v>41</v>
      </c>
      <c r="F461" s="3" t="s">
        <v>308</v>
      </c>
      <c r="G461" s="3"/>
      <c r="H461" s="12"/>
      <c r="I461" s="13"/>
      <c r="J461" s="10"/>
      <c r="K461" s="3"/>
      <c r="L461" s="3"/>
      <c r="M461" s="3"/>
      <c r="N461" s="3"/>
      <c r="O461" s="3"/>
      <c r="P461" s="3"/>
      <c r="Q461" s="3"/>
      <c r="R461" s="3"/>
      <c r="S461" s="3"/>
      <c r="T461" s="3"/>
      <c r="U461" s="3"/>
      <c r="V461" s="3"/>
      <c r="W461" s="10" t="str">
        <f>IF( J461="s.i", "s.i", IF(ISBLANK(J461),"Actualizando información",IFERROR(J461 / VLOOKUP(A461,Deflactor!$G$3:$H$64,2,0),"Revisar error" )))</f>
        <v>Actualizando información</v>
      </c>
    </row>
    <row r="462" spans="1:23" x14ac:dyDescent="0.25">
      <c r="A462" s="3">
        <v>2003</v>
      </c>
      <c r="B462" s="3" t="s">
        <v>561</v>
      </c>
      <c r="C462" s="3" t="s">
        <v>7</v>
      </c>
      <c r="D462" s="3" t="s">
        <v>36</v>
      </c>
      <c r="E462" s="3" t="s">
        <v>37</v>
      </c>
      <c r="F462" s="3" t="s">
        <v>329</v>
      </c>
      <c r="G462" s="3"/>
      <c r="H462" s="12"/>
      <c r="I462" s="13"/>
      <c r="J462" s="10"/>
      <c r="K462" s="3"/>
      <c r="L462" s="3"/>
      <c r="M462" s="3"/>
      <c r="N462" s="3"/>
      <c r="O462" s="3"/>
      <c r="P462" s="3"/>
      <c r="Q462" s="3"/>
      <c r="R462" s="3"/>
      <c r="S462" s="3"/>
      <c r="T462" s="3"/>
      <c r="U462" s="3"/>
      <c r="V462" s="3"/>
      <c r="W462" s="10" t="str">
        <f>IF( J462="s.i", "s.i", IF(ISBLANK(J462),"Actualizando información",IFERROR(J462 / VLOOKUP(A462,Deflactor!$G$3:$H$64,2,0),"Revisar error" )))</f>
        <v>Actualizando información</v>
      </c>
    </row>
    <row r="463" spans="1:23" x14ac:dyDescent="0.25">
      <c r="A463" s="3">
        <v>2003</v>
      </c>
      <c r="B463" s="3" t="s">
        <v>562</v>
      </c>
      <c r="C463" s="3" t="s">
        <v>7</v>
      </c>
      <c r="D463" s="3" t="s">
        <v>36</v>
      </c>
      <c r="E463" s="3" t="s">
        <v>37</v>
      </c>
      <c r="F463" s="3" t="s">
        <v>310</v>
      </c>
      <c r="G463" s="3"/>
      <c r="H463" s="12"/>
      <c r="I463" s="13"/>
      <c r="J463" s="10"/>
      <c r="K463" s="3"/>
      <c r="L463" s="3"/>
      <c r="M463" s="3"/>
      <c r="N463" s="3"/>
      <c r="O463" s="3"/>
      <c r="P463" s="3"/>
      <c r="Q463" s="3"/>
      <c r="R463" s="3"/>
      <c r="S463" s="3"/>
      <c r="T463" s="3"/>
      <c r="U463" s="3"/>
      <c r="V463" s="3"/>
      <c r="W463" s="10" t="str">
        <f>IF( J463="s.i", "s.i", IF(ISBLANK(J463),"Actualizando información",IFERROR(J463 / VLOOKUP(A463,Deflactor!$G$3:$H$64,2,0),"Revisar error" )))</f>
        <v>Actualizando información</v>
      </c>
    </row>
    <row r="464" spans="1:23" x14ac:dyDescent="0.25">
      <c r="A464" s="3">
        <v>2003</v>
      </c>
      <c r="B464" s="3" t="s">
        <v>563</v>
      </c>
      <c r="C464" s="3" t="s">
        <v>92</v>
      </c>
      <c r="D464" s="3" t="s">
        <v>25</v>
      </c>
      <c r="E464" s="3" t="s">
        <v>26</v>
      </c>
      <c r="F464" s="3" t="s">
        <v>308</v>
      </c>
      <c r="G464" s="3"/>
      <c r="H464" s="12"/>
      <c r="I464" s="13"/>
      <c r="J464" s="10"/>
      <c r="K464" s="3"/>
      <c r="L464" s="3"/>
      <c r="M464" s="3"/>
      <c r="N464" s="3"/>
      <c r="O464" s="3"/>
      <c r="P464" s="3"/>
      <c r="Q464" s="3"/>
      <c r="R464" s="3"/>
      <c r="S464" s="3"/>
      <c r="T464" s="3"/>
      <c r="U464" s="3"/>
      <c r="V464" s="3"/>
      <c r="W464" s="10" t="str">
        <f>IF( J464="s.i", "s.i", IF(ISBLANK(J464),"Actualizando información",IFERROR(J464 / VLOOKUP(A464,Deflactor!$G$3:$H$64,2,0),"Revisar error" )))</f>
        <v>Actualizando información</v>
      </c>
    </row>
    <row r="465" spans="1:23" x14ac:dyDescent="0.25">
      <c r="A465" s="3">
        <v>2003</v>
      </c>
      <c r="B465" s="3" t="s">
        <v>564</v>
      </c>
      <c r="C465" s="3" t="s">
        <v>92</v>
      </c>
      <c r="D465" s="3" t="s">
        <v>25</v>
      </c>
      <c r="E465" s="3" t="s">
        <v>26</v>
      </c>
      <c r="F465" s="3" t="s">
        <v>310</v>
      </c>
      <c r="G465" s="3"/>
      <c r="H465" s="12"/>
      <c r="I465" s="13"/>
      <c r="J465" s="10"/>
      <c r="K465" s="3"/>
      <c r="L465" s="3"/>
      <c r="M465" s="3"/>
      <c r="N465" s="3"/>
      <c r="O465" s="3"/>
      <c r="P465" s="3"/>
      <c r="Q465" s="3"/>
      <c r="R465" s="3"/>
      <c r="S465" s="3"/>
      <c r="T465" s="3"/>
      <c r="U465" s="3" t="s">
        <v>564</v>
      </c>
      <c r="V465" s="3"/>
      <c r="W465" s="10" t="str">
        <f>IF( J465="s.i", "s.i", IF(ISBLANK(J465),"Actualizando información",IFERROR(J465 / VLOOKUP(A465,Deflactor!$G$3:$H$64,2,0),"Revisar error" )))</f>
        <v>Actualizando información</v>
      </c>
    </row>
    <row r="466" spans="1:23" x14ac:dyDescent="0.25">
      <c r="A466" s="3">
        <v>2003</v>
      </c>
      <c r="B466" s="3" t="s">
        <v>565</v>
      </c>
      <c r="C466" s="3" t="s">
        <v>7</v>
      </c>
      <c r="D466" s="3" t="s">
        <v>25</v>
      </c>
      <c r="E466" s="3" t="s">
        <v>26</v>
      </c>
      <c r="F466" s="3" t="s">
        <v>308</v>
      </c>
      <c r="G466" s="3"/>
      <c r="H466" s="12"/>
      <c r="I466" s="13"/>
      <c r="J466" s="10"/>
      <c r="K466" s="3"/>
      <c r="L466" s="3"/>
      <c r="M466" s="3"/>
      <c r="N466" s="3"/>
      <c r="O466" s="3"/>
      <c r="P466" s="3"/>
      <c r="Q466" s="3"/>
      <c r="R466" s="3"/>
      <c r="S466" s="3"/>
      <c r="T466" s="3"/>
      <c r="U466" s="3"/>
      <c r="V466" s="3"/>
      <c r="W466" s="10" t="str">
        <f>IF( J466="s.i", "s.i", IF(ISBLANK(J466),"Actualizando información",IFERROR(J466 / VLOOKUP(A466,Deflactor!$G$3:$H$64,2,0),"Revisar error" )))</f>
        <v>Actualizando información</v>
      </c>
    </row>
    <row r="467" spans="1:23" x14ac:dyDescent="0.25">
      <c r="A467" s="3">
        <v>2003</v>
      </c>
      <c r="B467" s="3" t="s">
        <v>566</v>
      </c>
      <c r="C467" s="3" t="s">
        <v>7</v>
      </c>
      <c r="D467" s="3" t="s">
        <v>12</v>
      </c>
      <c r="E467" s="3" t="s">
        <v>403</v>
      </c>
      <c r="F467" s="3" t="s">
        <v>329</v>
      </c>
      <c r="G467" s="3"/>
      <c r="H467" s="12"/>
      <c r="I467" s="13"/>
      <c r="J467" s="10"/>
      <c r="K467" s="3"/>
      <c r="L467" s="3"/>
      <c r="M467" s="3"/>
      <c r="N467" s="3"/>
      <c r="O467" s="3"/>
      <c r="P467" s="3"/>
      <c r="Q467" s="3"/>
      <c r="R467" s="3"/>
      <c r="S467" s="3"/>
      <c r="T467" s="3"/>
      <c r="U467" s="3"/>
      <c r="V467" s="3"/>
      <c r="W467" s="10" t="str">
        <f>IF( J467="s.i", "s.i", IF(ISBLANK(J467),"Actualizando información",IFERROR(J467 / VLOOKUP(A467,Deflactor!$G$3:$H$64,2,0),"Revisar error" )))</f>
        <v>Actualizando información</v>
      </c>
    </row>
    <row r="468" spans="1:23" x14ac:dyDescent="0.25">
      <c r="A468" s="3">
        <v>2003</v>
      </c>
      <c r="B468" s="3" t="s">
        <v>567</v>
      </c>
      <c r="C468" s="3" t="s">
        <v>7</v>
      </c>
      <c r="D468" s="3" t="s">
        <v>25</v>
      </c>
      <c r="E468" s="3" t="s">
        <v>151</v>
      </c>
      <c r="F468" s="3" t="s">
        <v>351</v>
      </c>
      <c r="G468" s="3"/>
      <c r="H468" s="12"/>
      <c r="I468" s="13"/>
      <c r="J468" s="10"/>
      <c r="K468" s="3"/>
      <c r="L468" s="3"/>
      <c r="M468" s="3"/>
      <c r="N468" s="3"/>
      <c r="O468" s="3"/>
      <c r="P468" s="3"/>
      <c r="Q468" s="3"/>
      <c r="R468" s="3"/>
      <c r="S468" s="3"/>
      <c r="T468" s="3"/>
      <c r="U468" s="3"/>
      <c r="V468" s="3"/>
      <c r="W468" s="10" t="str">
        <f>IF( J468="s.i", "s.i", IF(ISBLANK(J468),"Actualizando información",IFERROR(J468 / VLOOKUP(A468,Deflactor!$G$3:$H$64,2,0),"Revisar error" )))</f>
        <v>Actualizando información</v>
      </c>
    </row>
    <row r="469" spans="1:23" x14ac:dyDescent="0.25">
      <c r="A469" s="3">
        <v>2003</v>
      </c>
      <c r="B469" s="3" t="s">
        <v>568</v>
      </c>
      <c r="C469" s="3" t="s">
        <v>92</v>
      </c>
      <c r="D469" s="3" t="s">
        <v>36</v>
      </c>
      <c r="E469" s="3" t="s">
        <v>37</v>
      </c>
      <c r="F469" s="3" t="s">
        <v>329</v>
      </c>
      <c r="G469" s="3"/>
      <c r="H469" s="12"/>
      <c r="I469" s="13"/>
      <c r="J469" s="10"/>
      <c r="K469" s="3"/>
      <c r="L469" s="3"/>
      <c r="M469" s="3"/>
      <c r="N469" s="3"/>
      <c r="O469" s="3"/>
      <c r="P469" s="3"/>
      <c r="Q469" s="3"/>
      <c r="R469" s="3"/>
      <c r="S469" s="3"/>
      <c r="T469" s="3"/>
      <c r="U469" s="3"/>
      <c r="V469" s="3"/>
      <c r="W469" s="10" t="str">
        <f>IF( J469="s.i", "s.i", IF(ISBLANK(J469),"Actualizando información",IFERROR(J469 / VLOOKUP(A469,Deflactor!$G$3:$H$64,2,0),"Revisar error" )))</f>
        <v>Actualizando información</v>
      </c>
    </row>
    <row r="470" spans="1:23" x14ac:dyDescent="0.25">
      <c r="A470" s="3">
        <v>2003</v>
      </c>
      <c r="B470" s="3" t="s">
        <v>569</v>
      </c>
      <c r="C470" s="3" t="s">
        <v>7</v>
      </c>
      <c r="D470" s="3" t="s">
        <v>64</v>
      </c>
      <c r="E470" s="3" t="s">
        <v>570</v>
      </c>
      <c r="F470" s="3" t="s">
        <v>351</v>
      </c>
      <c r="G470" s="3"/>
      <c r="H470" s="12"/>
      <c r="I470" s="13"/>
      <c r="J470" s="10"/>
      <c r="K470" s="3"/>
      <c r="L470" s="3"/>
      <c r="M470" s="3"/>
      <c r="N470" s="3"/>
      <c r="O470" s="3"/>
      <c r="P470" s="3"/>
      <c r="Q470" s="3"/>
      <c r="R470" s="3"/>
      <c r="S470" s="3"/>
      <c r="T470" s="3"/>
      <c r="U470" s="3"/>
      <c r="V470" s="3"/>
      <c r="W470" s="10" t="str">
        <f>IF( J470="s.i", "s.i", IF(ISBLANK(J470),"Actualizando información",IFERROR(J470 / VLOOKUP(A470,Deflactor!$G$3:$H$64,2,0),"Revisar error" )))</f>
        <v>Actualizando información</v>
      </c>
    </row>
    <row r="471" spans="1:23" x14ac:dyDescent="0.25">
      <c r="A471" s="3">
        <v>2002</v>
      </c>
      <c r="B471" s="3" t="s">
        <v>571</v>
      </c>
      <c r="C471" s="3" t="s">
        <v>7</v>
      </c>
      <c r="D471" s="3" t="s">
        <v>45</v>
      </c>
      <c r="E471" s="3" t="s">
        <v>519</v>
      </c>
      <c r="F471" s="3" t="s">
        <v>351</v>
      </c>
      <c r="G471" s="3"/>
      <c r="H471" s="12"/>
      <c r="I471" s="13"/>
      <c r="J471" s="10"/>
      <c r="K471" s="3"/>
      <c r="L471" s="3"/>
      <c r="M471" s="3"/>
      <c r="N471" s="3"/>
      <c r="O471" s="3"/>
      <c r="P471" s="3"/>
      <c r="Q471" s="3"/>
      <c r="R471" s="3"/>
      <c r="S471" s="3"/>
      <c r="T471" s="3"/>
      <c r="U471" s="3"/>
      <c r="V471" s="3"/>
      <c r="W471" s="10" t="str">
        <f>IF( J471="s.i", "s.i", IF(ISBLANK(J471),"Actualizando información",IFERROR(J471 / VLOOKUP(A471,Deflactor!$G$3:$H$64,2,0),"Revisar error" )))</f>
        <v>Actualizando información</v>
      </c>
    </row>
    <row r="472" spans="1:23" x14ac:dyDescent="0.25">
      <c r="A472" s="3">
        <v>2002</v>
      </c>
      <c r="B472" s="3" t="s">
        <v>572</v>
      </c>
      <c r="C472" s="3" t="s">
        <v>7</v>
      </c>
      <c r="D472" s="3" t="s">
        <v>12</v>
      </c>
      <c r="E472" s="3" t="s">
        <v>471</v>
      </c>
      <c r="F472" s="3" t="s">
        <v>399</v>
      </c>
      <c r="G472" s="3"/>
      <c r="H472" s="12"/>
      <c r="I472" s="13"/>
      <c r="J472" s="10"/>
      <c r="K472" s="3"/>
      <c r="L472" s="3"/>
      <c r="M472" s="3"/>
      <c r="N472" s="3"/>
      <c r="O472" s="3"/>
      <c r="P472" s="3"/>
      <c r="Q472" s="3"/>
      <c r="R472" s="3"/>
      <c r="S472" s="3"/>
      <c r="T472" s="3"/>
      <c r="U472" s="3"/>
      <c r="V472" s="3"/>
      <c r="W472" s="10" t="str">
        <f>IF( J472="s.i", "s.i", IF(ISBLANK(J472),"Actualizando información",IFERROR(J472 / VLOOKUP(A472,Deflactor!$G$3:$H$64,2,0),"Revisar error" )))</f>
        <v>Actualizando información</v>
      </c>
    </row>
    <row r="473" spans="1:23" x14ac:dyDescent="0.25">
      <c r="A473" s="3">
        <v>2002</v>
      </c>
      <c r="B473" s="3" t="s">
        <v>573</v>
      </c>
      <c r="C473" s="3" t="s">
        <v>7</v>
      </c>
      <c r="D473" s="3" t="s">
        <v>36</v>
      </c>
      <c r="E473" s="3" t="s">
        <v>37</v>
      </c>
      <c r="F473" s="3" t="s">
        <v>351</v>
      </c>
      <c r="G473" s="3"/>
      <c r="H473" s="12"/>
      <c r="I473" s="13"/>
      <c r="J473" s="10"/>
      <c r="K473" s="3"/>
      <c r="L473" s="3"/>
      <c r="M473" s="3"/>
      <c r="N473" s="3"/>
      <c r="O473" s="3"/>
      <c r="P473" s="3"/>
      <c r="Q473" s="3"/>
      <c r="R473" s="3"/>
      <c r="S473" s="3"/>
      <c r="T473" s="3"/>
      <c r="U473" s="3"/>
      <c r="V473" s="3"/>
      <c r="W473" s="10" t="str">
        <f>IF( J473="s.i", "s.i", IF(ISBLANK(J473),"Actualizando información",IFERROR(J473 / VLOOKUP(A473,Deflactor!$G$3:$H$64,2,0),"Revisar error" )))</f>
        <v>Actualizando información</v>
      </c>
    </row>
    <row r="474" spans="1:23" x14ac:dyDescent="0.25">
      <c r="A474" s="3">
        <v>2002</v>
      </c>
      <c r="B474" s="3" t="s">
        <v>574</v>
      </c>
      <c r="C474" s="3" t="s">
        <v>7</v>
      </c>
      <c r="D474" s="3" t="s">
        <v>36</v>
      </c>
      <c r="E474" s="3" t="s">
        <v>37</v>
      </c>
      <c r="F474" s="3" t="s">
        <v>308</v>
      </c>
      <c r="G474" s="3"/>
      <c r="H474" s="12"/>
      <c r="I474" s="13"/>
      <c r="J474" s="10"/>
      <c r="K474" s="3"/>
      <c r="L474" s="3"/>
      <c r="M474" s="3"/>
      <c r="N474" s="3"/>
      <c r="O474" s="3"/>
      <c r="P474" s="3"/>
      <c r="Q474" s="3"/>
      <c r="R474" s="3"/>
      <c r="S474" s="3"/>
      <c r="T474" s="3"/>
      <c r="U474" s="3"/>
      <c r="V474" s="3"/>
      <c r="W474" s="10" t="str">
        <f>IF( J474="s.i", "s.i", IF(ISBLANK(J474),"Actualizando información",IFERROR(J474 / VLOOKUP(A474,Deflactor!$G$3:$H$64,2,0),"Revisar error" )))</f>
        <v>Actualizando información</v>
      </c>
    </row>
    <row r="475" spans="1:23" x14ac:dyDescent="0.25">
      <c r="A475" s="3">
        <v>2002</v>
      </c>
      <c r="B475" s="3" t="s">
        <v>575</v>
      </c>
      <c r="C475" s="3" t="s">
        <v>155</v>
      </c>
      <c r="D475" s="3" t="s">
        <v>8</v>
      </c>
      <c r="E475" s="3" t="s">
        <v>264</v>
      </c>
      <c r="F475" s="3" t="s">
        <v>157</v>
      </c>
      <c r="G475" s="3"/>
      <c r="H475" s="12"/>
      <c r="I475" s="13"/>
      <c r="J475" s="10"/>
      <c r="K475" s="3"/>
      <c r="L475" s="3"/>
      <c r="M475" s="3"/>
      <c r="N475" s="3"/>
      <c r="O475" s="3"/>
      <c r="P475" s="3"/>
      <c r="Q475" s="3"/>
      <c r="R475" s="3"/>
      <c r="S475" s="3"/>
      <c r="T475" s="3"/>
      <c r="U475" s="3"/>
      <c r="V475" s="3"/>
      <c r="W475" s="10" t="str">
        <f>IF( J475="s.i", "s.i", IF(ISBLANK(J475),"Actualizando información",IFERROR(J475 / VLOOKUP(A475,Deflactor!$G$3:$H$64,2,0),"Revisar error" )))</f>
        <v>Actualizando información</v>
      </c>
    </row>
    <row r="476" spans="1:23" x14ac:dyDescent="0.25">
      <c r="A476" s="3">
        <v>2002</v>
      </c>
      <c r="B476" s="3" t="s">
        <v>576</v>
      </c>
      <c r="C476" s="3" t="s">
        <v>155</v>
      </c>
      <c r="D476" s="3" t="s">
        <v>8</v>
      </c>
      <c r="E476" s="3" t="s">
        <v>264</v>
      </c>
      <c r="F476" s="3" t="s">
        <v>157</v>
      </c>
      <c r="G476" s="3"/>
      <c r="H476" s="12"/>
      <c r="I476" s="13"/>
      <c r="J476" s="10"/>
      <c r="K476" s="3"/>
      <c r="L476" s="3"/>
      <c r="M476" s="3"/>
      <c r="N476" s="3"/>
      <c r="O476" s="3"/>
      <c r="P476" s="3"/>
      <c r="Q476" s="3"/>
      <c r="R476" s="3"/>
      <c r="S476" s="3"/>
      <c r="T476" s="3"/>
      <c r="U476" s="3"/>
      <c r="V476" s="3"/>
      <c r="W476" s="10" t="str">
        <f>IF( J476="s.i", "s.i", IF(ISBLANK(J476),"Actualizando información",IFERROR(J476 / VLOOKUP(A476,Deflactor!$G$3:$H$64,2,0),"Revisar error" )))</f>
        <v>Actualizando información</v>
      </c>
    </row>
    <row r="477" spans="1:23" x14ac:dyDescent="0.25">
      <c r="A477" s="3">
        <v>2002</v>
      </c>
      <c r="B477" s="3" t="s">
        <v>577</v>
      </c>
      <c r="C477" s="3" t="s">
        <v>155</v>
      </c>
      <c r="D477" s="3" t="s">
        <v>8</v>
      </c>
      <c r="E477" s="3" t="s">
        <v>264</v>
      </c>
      <c r="F477" s="3" t="s">
        <v>157</v>
      </c>
      <c r="G477" s="3"/>
      <c r="H477" s="12"/>
      <c r="I477" s="13"/>
      <c r="J477" s="10"/>
      <c r="K477" s="3"/>
      <c r="L477" s="3"/>
      <c r="M477" s="3"/>
      <c r="N477" s="3"/>
      <c r="O477" s="3"/>
      <c r="P477" s="3"/>
      <c r="Q477" s="3"/>
      <c r="R477" s="3"/>
      <c r="S477" s="3"/>
      <c r="T477" s="3"/>
      <c r="U477" s="3"/>
      <c r="V477" s="3"/>
      <c r="W477" s="10" t="str">
        <f>IF( J477="s.i", "s.i", IF(ISBLANK(J477),"Actualizando información",IFERROR(J477 / VLOOKUP(A477,Deflactor!$G$3:$H$64,2,0),"Revisar error" )))</f>
        <v>Actualizando información</v>
      </c>
    </row>
    <row r="478" spans="1:23" x14ac:dyDescent="0.25">
      <c r="A478" s="3">
        <v>2002</v>
      </c>
      <c r="B478" s="3" t="s">
        <v>578</v>
      </c>
      <c r="C478" s="3" t="s">
        <v>155</v>
      </c>
      <c r="D478" s="3" t="s">
        <v>8</v>
      </c>
      <c r="E478" s="3" t="s">
        <v>264</v>
      </c>
      <c r="F478" s="3" t="s">
        <v>157</v>
      </c>
      <c r="G478" s="3"/>
      <c r="H478" s="12"/>
      <c r="I478" s="13"/>
      <c r="J478" s="10"/>
      <c r="K478" s="3"/>
      <c r="L478" s="3"/>
      <c r="M478" s="3"/>
      <c r="N478" s="3"/>
      <c r="O478" s="3"/>
      <c r="P478" s="3"/>
      <c r="Q478" s="3"/>
      <c r="R478" s="3"/>
      <c r="S478" s="3"/>
      <c r="T478" s="3"/>
      <c r="U478" s="3"/>
      <c r="V478" s="3"/>
      <c r="W478" s="10" t="str">
        <f>IF( J478="s.i", "s.i", IF(ISBLANK(J478),"Actualizando información",IFERROR(J478 / VLOOKUP(A478,Deflactor!$G$3:$H$64,2,0),"Revisar error" )))</f>
        <v>Actualizando información</v>
      </c>
    </row>
    <row r="479" spans="1:23" x14ac:dyDescent="0.25">
      <c r="A479" s="3">
        <v>2002</v>
      </c>
      <c r="B479" s="3" t="s">
        <v>579</v>
      </c>
      <c r="C479" s="3" t="s">
        <v>155</v>
      </c>
      <c r="D479" s="3" t="s">
        <v>8</v>
      </c>
      <c r="E479" s="3" t="s">
        <v>264</v>
      </c>
      <c r="F479" s="3" t="s">
        <v>157</v>
      </c>
      <c r="G479" s="3"/>
      <c r="H479" s="12"/>
      <c r="I479" s="13"/>
      <c r="J479" s="10"/>
      <c r="K479" s="3"/>
      <c r="L479" s="3"/>
      <c r="M479" s="3"/>
      <c r="N479" s="3"/>
      <c r="O479" s="3"/>
      <c r="P479" s="3"/>
      <c r="Q479" s="3"/>
      <c r="R479" s="3"/>
      <c r="S479" s="3"/>
      <c r="T479" s="3"/>
      <c r="U479" s="3"/>
      <c r="V479" s="3"/>
      <c r="W479" s="10" t="str">
        <f>IF( J479="s.i", "s.i", IF(ISBLANK(J479),"Actualizando información",IFERROR(J479 / VLOOKUP(A479,Deflactor!$G$3:$H$64,2,0),"Revisar error" )))</f>
        <v>Actualizando información</v>
      </c>
    </row>
    <row r="480" spans="1:23" x14ac:dyDescent="0.25">
      <c r="A480" s="3">
        <v>2002</v>
      </c>
      <c r="B480" s="3" t="s">
        <v>580</v>
      </c>
      <c r="C480" s="3" t="s">
        <v>155</v>
      </c>
      <c r="D480" s="3" t="s">
        <v>8</v>
      </c>
      <c r="E480" s="3" t="s">
        <v>264</v>
      </c>
      <c r="F480" s="3" t="s">
        <v>157</v>
      </c>
      <c r="G480" s="3"/>
      <c r="H480" s="12"/>
      <c r="I480" s="13"/>
      <c r="J480" s="10"/>
      <c r="K480" s="3"/>
      <c r="L480" s="3"/>
      <c r="M480" s="3"/>
      <c r="N480" s="3"/>
      <c r="O480" s="3"/>
      <c r="P480" s="3"/>
      <c r="Q480" s="3"/>
      <c r="R480" s="3"/>
      <c r="S480" s="3"/>
      <c r="T480" s="3"/>
      <c r="U480" s="3"/>
      <c r="V480" s="3"/>
      <c r="W480" s="10" t="str">
        <f>IF( J480="s.i", "s.i", IF(ISBLANK(J480),"Actualizando información",IFERROR(J480 / VLOOKUP(A480,Deflactor!$G$3:$H$64,2,0),"Revisar error" )))</f>
        <v>Actualizando información</v>
      </c>
    </row>
    <row r="481" spans="1:23" x14ac:dyDescent="0.25">
      <c r="A481" s="3">
        <v>2002</v>
      </c>
      <c r="B481" s="3" t="s">
        <v>581</v>
      </c>
      <c r="C481" s="3" t="s">
        <v>7</v>
      </c>
      <c r="D481" s="3" t="s">
        <v>64</v>
      </c>
      <c r="E481" s="3" t="s">
        <v>582</v>
      </c>
      <c r="F481" s="3" t="s">
        <v>399</v>
      </c>
      <c r="G481" s="3"/>
      <c r="H481" s="12"/>
      <c r="I481" s="13"/>
      <c r="J481" s="10"/>
      <c r="K481" s="3"/>
      <c r="L481" s="3"/>
      <c r="M481" s="3"/>
      <c r="N481" s="3"/>
      <c r="O481" s="3"/>
      <c r="P481" s="3"/>
      <c r="Q481" s="3"/>
      <c r="R481" s="3"/>
      <c r="S481" s="3"/>
      <c r="T481" s="3"/>
      <c r="U481" s="3"/>
      <c r="V481" s="3"/>
      <c r="W481" s="10" t="str">
        <f>IF( J481="s.i", "s.i", IF(ISBLANK(J481),"Actualizando información",IFERROR(J481 / VLOOKUP(A481,Deflactor!$G$3:$H$64,2,0),"Revisar error" )))</f>
        <v>Actualizando información</v>
      </c>
    </row>
    <row r="482" spans="1:23" x14ac:dyDescent="0.25">
      <c r="A482" s="3">
        <v>2002</v>
      </c>
      <c r="B482" s="3" t="s">
        <v>583</v>
      </c>
      <c r="C482" s="3" t="s">
        <v>7</v>
      </c>
      <c r="D482" s="3" t="s">
        <v>54</v>
      </c>
      <c r="E482" s="3" t="s">
        <v>236</v>
      </c>
      <c r="F482" s="3" t="s">
        <v>310</v>
      </c>
      <c r="G482" s="3"/>
      <c r="H482" s="12"/>
      <c r="I482" s="13"/>
      <c r="J482" s="10"/>
      <c r="K482" s="3"/>
      <c r="L482" s="3"/>
      <c r="M482" s="3"/>
      <c r="N482" s="3"/>
      <c r="O482" s="3"/>
      <c r="P482" s="3"/>
      <c r="Q482" s="3"/>
      <c r="R482" s="3"/>
      <c r="S482" s="3"/>
      <c r="T482" s="3"/>
      <c r="U482" s="3"/>
      <c r="V482" s="3"/>
      <c r="W482" s="10" t="str">
        <f>IF( J482="s.i", "s.i", IF(ISBLANK(J482),"Actualizando información",IFERROR(J482 / VLOOKUP(A482,Deflactor!$G$3:$H$64,2,0),"Revisar error" )))</f>
        <v>Actualizando información</v>
      </c>
    </row>
    <row r="483" spans="1:23" x14ac:dyDescent="0.25">
      <c r="A483" s="3">
        <v>2002</v>
      </c>
      <c r="B483" s="3" t="s">
        <v>584</v>
      </c>
      <c r="C483" s="3" t="s">
        <v>92</v>
      </c>
      <c r="D483" s="3" t="s">
        <v>159</v>
      </c>
      <c r="E483" s="3" t="s">
        <v>160</v>
      </c>
      <c r="F483" s="3" t="s">
        <v>310</v>
      </c>
      <c r="G483" s="3"/>
      <c r="H483" s="12"/>
      <c r="I483" s="13"/>
      <c r="J483" s="10"/>
      <c r="K483" s="3"/>
      <c r="L483" s="3"/>
      <c r="M483" s="3"/>
      <c r="N483" s="3"/>
      <c r="O483" s="3"/>
      <c r="P483" s="3"/>
      <c r="Q483" s="3"/>
      <c r="R483" s="3"/>
      <c r="S483" s="3"/>
      <c r="T483" s="3"/>
      <c r="U483" s="3"/>
      <c r="V483" s="3"/>
      <c r="W483" s="10" t="str">
        <f>IF( J483="s.i", "s.i", IF(ISBLANK(J483),"Actualizando información",IFERROR(J483 / VLOOKUP(A483,Deflactor!$G$3:$H$64,2,0),"Revisar error" )))</f>
        <v>Actualizando información</v>
      </c>
    </row>
    <row r="484" spans="1:23" x14ac:dyDescent="0.25">
      <c r="A484" s="3">
        <v>2002</v>
      </c>
      <c r="B484" s="3" t="s">
        <v>585</v>
      </c>
      <c r="C484" s="3" t="s">
        <v>7</v>
      </c>
      <c r="D484" s="3" t="s">
        <v>32</v>
      </c>
      <c r="E484" s="3" t="s">
        <v>33</v>
      </c>
      <c r="F484" s="3" t="s">
        <v>329</v>
      </c>
      <c r="G484" s="3"/>
      <c r="H484" s="12"/>
      <c r="I484" s="13"/>
      <c r="J484" s="10"/>
      <c r="K484" s="3"/>
      <c r="L484" s="3"/>
      <c r="M484" s="3"/>
      <c r="N484" s="3"/>
      <c r="O484" s="3"/>
      <c r="P484" s="3"/>
      <c r="Q484" s="3"/>
      <c r="R484" s="3"/>
      <c r="S484" s="3"/>
      <c r="T484" s="3"/>
      <c r="U484" s="3"/>
      <c r="V484" s="3"/>
      <c r="W484" s="10" t="str">
        <f>IF( J484="s.i", "s.i", IF(ISBLANK(J484),"Actualizando información",IFERROR(J484 / VLOOKUP(A484,Deflactor!$G$3:$H$64,2,0),"Revisar error" )))</f>
        <v>Actualizando información</v>
      </c>
    </row>
    <row r="485" spans="1:23" x14ac:dyDescent="0.25">
      <c r="A485" s="3">
        <v>2002</v>
      </c>
      <c r="B485" s="3" t="s">
        <v>586</v>
      </c>
      <c r="C485" s="3" t="s">
        <v>7</v>
      </c>
      <c r="D485" s="3" t="s">
        <v>290</v>
      </c>
      <c r="E485" s="3" t="s">
        <v>120</v>
      </c>
      <c r="F485" s="3" t="s">
        <v>351</v>
      </c>
      <c r="G485" s="3"/>
      <c r="H485" s="12"/>
      <c r="I485" s="13"/>
      <c r="J485" s="10"/>
      <c r="K485" s="3"/>
      <c r="L485" s="3"/>
      <c r="M485" s="3"/>
      <c r="N485" s="3"/>
      <c r="O485" s="3"/>
      <c r="P485" s="3"/>
      <c r="Q485" s="3"/>
      <c r="R485" s="3"/>
      <c r="S485" s="3"/>
      <c r="T485" s="3"/>
      <c r="U485" s="3"/>
      <c r="V485" s="3"/>
      <c r="W485" s="10" t="str">
        <f>IF( J485="s.i", "s.i", IF(ISBLANK(J485),"Actualizando información",IFERROR(J485 / VLOOKUP(A485,Deflactor!$G$3:$H$64,2,0),"Revisar error" )))</f>
        <v>Actualizando información</v>
      </c>
    </row>
    <row r="486" spans="1:23" x14ac:dyDescent="0.25">
      <c r="A486" s="3">
        <v>2002</v>
      </c>
      <c r="B486" s="3" t="s">
        <v>587</v>
      </c>
      <c r="C486" s="3" t="s">
        <v>7</v>
      </c>
      <c r="D486" s="3" t="s">
        <v>12</v>
      </c>
      <c r="E486" s="3" t="s">
        <v>13</v>
      </c>
      <c r="F486" s="3" t="s">
        <v>308</v>
      </c>
      <c r="G486" s="3"/>
      <c r="H486" s="12"/>
      <c r="I486" s="13"/>
      <c r="J486" s="10"/>
      <c r="K486" s="3"/>
      <c r="L486" s="3"/>
      <c r="M486" s="3"/>
      <c r="N486" s="3"/>
      <c r="O486" s="3"/>
      <c r="P486" s="3"/>
      <c r="Q486" s="3"/>
      <c r="R486" s="3"/>
      <c r="S486" s="3"/>
      <c r="T486" s="3"/>
      <c r="U486" s="3"/>
      <c r="V486" s="3"/>
      <c r="W486" s="10" t="str">
        <f>IF( J486="s.i", "s.i", IF(ISBLANK(J486),"Actualizando información",IFERROR(J486 / VLOOKUP(A486,Deflactor!$G$3:$H$64,2,0),"Revisar error" )))</f>
        <v>Actualizando información</v>
      </c>
    </row>
    <row r="487" spans="1:23" x14ac:dyDescent="0.25">
      <c r="A487" s="3">
        <v>2002</v>
      </c>
      <c r="B487" s="3" t="s">
        <v>588</v>
      </c>
      <c r="C487" s="3" t="s">
        <v>92</v>
      </c>
      <c r="D487" s="3" t="s">
        <v>12</v>
      </c>
      <c r="E487" s="3" t="s">
        <v>13</v>
      </c>
      <c r="F487" s="3" t="s">
        <v>329</v>
      </c>
      <c r="G487" s="3"/>
      <c r="H487" s="12"/>
      <c r="I487" s="13"/>
      <c r="J487" s="10"/>
      <c r="K487" s="3"/>
      <c r="L487" s="3"/>
      <c r="M487" s="3"/>
      <c r="N487" s="3"/>
      <c r="O487" s="3"/>
      <c r="P487" s="3"/>
      <c r="Q487" s="3"/>
      <c r="R487" s="3"/>
      <c r="S487" s="3"/>
      <c r="T487" s="3"/>
      <c r="U487" s="3" t="s">
        <v>1324</v>
      </c>
      <c r="V487" s="3"/>
      <c r="W487" s="10" t="str">
        <f>IF( J487="s.i", "s.i", IF(ISBLANK(J487),"Actualizando información",IFERROR(J487 / VLOOKUP(A487,Deflactor!$G$3:$H$64,2,0),"Revisar error" )))</f>
        <v>Actualizando información</v>
      </c>
    </row>
    <row r="488" spans="1:23" x14ac:dyDescent="0.25">
      <c r="A488" s="3">
        <v>2002</v>
      </c>
      <c r="B488" s="3" t="s">
        <v>589</v>
      </c>
      <c r="C488" s="3" t="s">
        <v>7</v>
      </c>
      <c r="D488" s="3" t="s">
        <v>25</v>
      </c>
      <c r="E488" s="3" t="s">
        <v>26</v>
      </c>
      <c r="F488" s="3" t="s">
        <v>329</v>
      </c>
      <c r="G488" s="3"/>
      <c r="H488" s="12"/>
      <c r="I488" s="13"/>
      <c r="J488" s="10"/>
      <c r="K488" s="3" t="s">
        <v>2166</v>
      </c>
      <c r="L488" s="3"/>
      <c r="M488" s="3"/>
      <c r="N488" s="3"/>
      <c r="O488" s="3"/>
      <c r="P488" s="3"/>
      <c r="Q488" s="3"/>
      <c r="R488" s="3"/>
      <c r="S488" s="3"/>
      <c r="T488" s="3"/>
      <c r="U488" s="3" t="s">
        <v>1150</v>
      </c>
      <c r="V488" s="3"/>
      <c r="W488" s="10" t="str">
        <f>IF( J488="s.i", "s.i", IF(ISBLANK(J488),"Actualizando información",IFERROR(J488 / VLOOKUP(A488,Deflactor!$G$3:$H$64,2,0),"Revisar error" )))</f>
        <v>Actualizando información</v>
      </c>
    </row>
    <row r="489" spans="1:23" x14ac:dyDescent="0.25">
      <c r="A489" s="3">
        <v>2002</v>
      </c>
      <c r="B489" s="3" t="s">
        <v>590</v>
      </c>
      <c r="C489" s="3" t="s">
        <v>7</v>
      </c>
      <c r="D489" s="3" t="s">
        <v>216</v>
      </c>
      <c r="E489" s="3" t="s">
        <v>217</v>
      </c>
      <c r="F489" s="3" t="s">
        <v>329</v>
      </c>
      <c r="G489" s="3"/>
      <c r="H489" s="12"/>
      <c r="I489" s="13"/>
      <c r="J489" s="10"/>
      <c r="K489" s="3"/>
      <c r="L489" s="3"/>
      <c r="M489" s="3"/>
      <c r="N489" s="3"/>
      <c r="O489" s="3"/>
      <c r="P489" s="3"/>
      <c r="Q489" s="3"/>
      <c r="R489" s="3"/>
      <c r="S489" s="3"/>
      <c r="T489" s="3"/>
      <c r="U489" s="3" t="s">
        <v>215</v>
      </c>
      <c r="V489" s="3"/>
      <c r="W489" s="10" t="str">
        <f>IF( J489="s.i", "s.i", IF(ISBLANK(J489),"Actualizando información",IFERROR(J489 / VLOOKUP(A489,Deflactor!$G$3:$H$64,2,0),"Revisar error" )))</f>
        <v>Actualizando información</v>
      </c>
    </row>
    <row r="490" spans="1:23" x14ac:dyDescent="0.25">
      <c r="A490" s="3">
        <v>2002</v>
      </c>
      <c r="B490" s="3" t="s">
        <v>591</v>
      </c>
      <c r="C490" s="3" t="s">
        <v>7</v>
      </c>
      <c r="D490" s="3" t="s">
        <v>36</v>
      </c>
      <c r="E490" s="3" t="s">
        <v>94</v>
      </c>
      <c r="F490" s="3" t="s">
        <v>351</v>
      </c>
      <c r="G490" s="3"/>
      <c r="H490" s="12"/>
      <c r="I490" s="13"/>
      <c r="J490" s="10"/>
      <c r="K490" s="3"/>
      <c r="L490" s="3"/>
      <c r="M490" s="3"/>
      <c r="N490" s="3"/>
      <c r="O490" s="3"/>
      <c r="P490" s="3"/>
      <c r="Q490" s="3"/>
      <c r="R490" s="3"/>
      <c r="S490" s="3"/>
      <c r="T490" s="3"/>
      <c r="U490" s="3"/>
      <c r="V490" s="3"/>
      <c r="W490" s="10" t="str">
        <f>IF( J490="s.i", "s.i", IF(ISBLANK(J490),"Actualizando información",IFERROR(J490 / VLOOKUP(A490,Deflactor!$G$3:$H$64,2,0),"Revisar error" )))</f>
        <v>Actualizando información</v>
      </c>
    </row>
    <row r="491" spans="1:23" x14ac:dyDescent="0.25">
      <c r="A491" s="3">
        <v>2002</v>
      </c>
      <c r="B491" s="3" t="s">
        <v>478</v>
      </c>
      <c r="C491" s="3" t="s">
        <v>7</v>
      </c>
      <c r="D491" s="3" t="s">
        <v>32</v>
      </c>
      <c r="E491" s="3" t="s">
        <v>33</v>
      </c>
      <c r="F491" s="3" t="s">
        <v>329</v>
      </c>
      <c r="G491" s="3"/>
      <c r="H491" s="12"/>
      <c r="I491" s="13"/>
      <c r="J491" s="10"/>
      <c r="K491" s="3"/>
      <c r="L491" s="3"/>
      <c r="M491" s="3"/>
      <c r="N491" s="3"/>
      <c r="O491" s="3"/>
      <c r="P491" s="3"/>
      <c r="Q491" s="3"/>
      <c r="R491" s="3"/>
      <c r="S491" s="3"/>
      <c r="T491" s="3"/>
      <c r="U491" s="3"/>
      <c r="V491" s="3"/>
      <c r="W491" s="10" t="str">
        <f>IF( J491="s.i", "s.i", IF(ISBLANK(J491),"Actualizando información",IFERROR(J491 / VLOOKUP(A491,Deflactor!$G$3:$H$64,2,0),"Revisar error" )))</f>
        <v>Actualizando información</v>
      </c>
    </row>
    <row r="492" spans="1:23" x14ac:dyDescent="0.25">
      <c r="A492" s="3">
        <v>2002</v>
      </c>
      <c r="B492" s="3" t="s">
        <v>592</v>
      </c>
      <c r="C492" s="3" t="s">
        <v>7</v>
      </c>
      <c r="D492" s="3" t="s">
        <v>233</v>
      </c>
      <c r="E492" s="3" t="s">
        <v>234</v>
      </c>
      <c r="F492" s="3" t="s">
        <v>329</v>
      </c>
      <c r="G492" s="3"/>
      <c r="H492" s="12"/>
      <c r="I492" s="13"/>
      <c r="J492" s="10"/>
      <c r="K492" s="3" t="s">
        <v>2535</v>
      </c>
      <c r="L492" s="3"/>
      <c r="M492" s="3"/>
      <c r="N492" s="3"/>
      <c r="O492" s="3"/>
      <c r="P492" s="3"/>
      <c r="Q492" s="3"/>
      <c r="R492" s="3"/>
      <c r="S492" s="3"/>
      <c r="T492" s="3"/>
      <c r="U492" s="3"/>
      <c r="V492" s="3"/>
      <c r="W492" s="10" t="str">
        <f>IF( J492="s.i", "s.i", IF(ISBLANK(J492),"Actualizando información",IFERROR(J492 / VLOOKUP(A492,Deflactor!$G$3:$H$64,2,0),"Revisar error" )))</f>
        <v>Actualizando información</v>
      </c>
    </row>
    <row r="493" spans="1:23" x14ac:dyDescent="0.25">
      <c r="A493" s="3">
        <v>2002</v>
      </c>
      <c r="B493" s="3" t="s">
        <v>593</v>
      </c>
      <c r="C493" s="3" t="s">
        <v>92</v>
      </c>
      <c r="D493" s="3" t="s">
        <v>25</v>
      </c>
      <c r="E493" s="3" t="s">
        <v>26</v>
      </c>
      <c r="F493" s="3" t="s">
        <v>351</v>
      </c>
      <c r="G493" s="3"/>
      <c r="H493" s="12"/>
      <c r="I493" s="13"/>
      <c r="J493" s="10"/>
      <c r="K493" s="3"/>
      <c r="L493" s="3"/>
      <c r="M493" s="3"/>
      <c r="N493" s="3"/>
      <c r="O493" s="3"/>
      <c r="P493" s="3"/>
      <c r="Q493" s="3"/>
      <c r="R493" s="3"/>
      <c r="S493" s="3"/>
      <c r="T493" s="3"/>
      <c r="U493" s="3"/>
      <c r="V493" s="3"/>
      <c r="W493" s="10" t="str">
        <f>IF( J493="s.i", "s.i", IF(ISBLANK(J493),"Actualizando información",IFERROR(J493 / VLOOKUP(A493,Deflactor!$G$3:$H$64,2,0),"Revisar error" )))</f>
        <v>Actualizando información</v>
      </c>
    </row>
    <row r="494" spans="1:23" x14ac:dyDescent="0.25">
      <c r="A494" s="3">
        <v>2002</v>
      </c>
      <c r="B494" s="3" t="s">
        <v>594</v>
      </c>
      <c r="C494" s="3" t="s">
        <v>92</v>
      </c>
      <c r="D494" s="3" t="s">
        <v>45</v>
      </c>
      <c r="E494" s="3" t="s">
        <v>184</v>
      </c>
      <c r="F494" s="3" t="s">
        <v>329</v>
      </c>
      <c r="G494" s="3"/>
      <c r="H494" s="12"/>
      <c r="I494" s="13"/>
      <c r="J494" s="10"/>
      <c r="K494" s="3" t="s">
        <v>183</v>
      </c>
      <c r="L494" s="3"/>
      <c r="M494" s="3"/>
      <c r="N494" s="3"/>
      <c r="O494" s="3"/>
      <c r="P494" s="3"/>
      <c r="Q494" s="3"/>
      <c r="R494" s="3"/>
      <c r="S494" s="3"/>
      <c r="T494" s="3"/>
      <c r="U494" s="3" t="s">
        <v>183</v>
      </c>
      <c r="V494" s="3"/>
      <c r="W494" s="10" t="str">
        <f>IF( J494="s.i", "s.i", IF(ISBLANK(J494),"Actualizando información",IFERROR(J494 / VLOOKUP(A494,Deflactor!$G$3:$H$64,2,0),"Revisar error" )))</f>
        <v>Actualizando información</v>
      </c>
    </row>
    <row r="495" spans="1:23" x14ac:dyDescent="0.25">
      <c r="A495" s="3">
        <v>2002</v>
      </c>
      <c r="B495" s="3" t="s">
        <v>595</v>
      </c>
      <c r="C495" s="3" t="s">
        <v>7</v>
      </c>
      <c r="D495" s="3" t="s">
        <v>45</v>
      </c>
      <c r="E495" s="3" t="s">
        <v>519</v>
      </c>
      <c r="F495" s="3" t="s">
        <v>351</v>
      </c>
      <c r="G495" s="3"/>
      <c r="H495" s="12"/>
      <c r="I495" s="13"/>
      <c r="J495" s="10"/>
      <c r="K495" s="3"/>
      <c r="L495" s="3"/>
      <c r="M495" s="3"/>
      <c r="N495" s="3"/>
      <c r="O495" s="3"/>
      <c r="P495" s="3"/>
      <c r="Q495" s="3"/>
      <c r="R495" s="3"/>
      <c r="S495" s="3"/>
      <c r="T495" s="3"/>
      <c r="U495" s="3"/>
      <c r="V495" s="3"/>
      <c r="W495" s="10" t="str">
        <f>IF( J495="s.i", "s.i", IF(ISBLANK(J495),"Actualizando información",IFERROR(J495 / VLOOKUP(A495,Deflactor!$G$3:$H$64,2,0),"Revisar error" )))</f>
        <v>Actualizando información</v>
      </c>
    </row>
    <row r="496" spans="1:23" x14ac:dyDescent="0.25">
      <c r="A496" s="3">
        <v>2001</v>
      </c>
      <c r="B496" s="3" t="s">
        <v>596</v>
      </c>
      <c r="C496" s="3" t="s">
        <v>7</v>
      </c>
      <c r="D496" s="3" t="s">
        <v>12</v>
      </c>
      <c r="E496" s="3" t="s">
        <v>403</v>
      </c>
      <c r="F496" s="3" t="s">
        <v>329</v>
      </c>
      <c r="G496" s="3"/>
      <c r="H496" s="12"/>
      <c r="I496" s="13"/>
      <c r="J496" s="10"/>
      <c r="K496" s="3"/>
      <c r="L496" s="3"/>
      <c r="M496" s="3"/>
      <c r="N496" s="3"/>
      <c r="O496" s="3"/>
      <c r="P496" s="3"/>
      <c r="Q496" s="3"/>
      <c r="R496" s="3"/>
      <c r="S496" s="3"/>
      <c r="T496" s="3"/>
      <c r="U496" s="3"/>
      <c r="V496" s="3"/>
      <c r="W496" s="10" t="str">
        <f>IF( J496="s.i", "s.i", IF(ISBLANK(J496),"Actualizando información",IFERROR(J496 / VLOOKUP(A496,Deflactor!$G$3:$H$64,2,0),"Revisar error" )))</f>
        <v>Actualizando información</v>
      </c>
    </row>
    <row r="497" spans="1:23" x14ac:dyDescent="0.25">
      <c r="A497" s="3">
        <v>2001</v>
      </c>
      <c r="B497" s="3" t="s">
        <v>597</v>
      </c>
      <c r="C497" s="3" t="s">
        <v>7</v>
      </c>
      <c r="D497" s="3" t="s">
        <v>290</v>
      </c>
      <c r="E497" s="3" t="s">
        <v>120</v>
      </c>
      <c r="F497" s="3" t="s">
        <v>329</v>
      </c>
      <c r="G497" s="3"/>
      <c r="H497" s="12"/>
      <c r="I497" s="13"/>
      <c r="J497" s="10"/>
      <c r="K497" s="3"/>
      <c r="L497" s="3"/>
      <c r="M497" s="3"/>
      <c r="N497" s="3"/>
      <c r="O497" s="3"/>
      <c r="P497" s="3"/>
      <c r="Q497" s="3"/>
      <c r="R497" s="3"/>
      <c r="S497" s="3"/>
      <c r="T497" s="3"/>
      <c r="U497" s="3"/>
      <c r="V497" s="3"/>
      <c r="W497" s="10" t="str">
        <f>IF( J497="s.i", "s.i", IF(ISBLANK(J497),"Actualizando información",IFERROR(J497 / VLOOKUP(A497,Deflactor!$G$3:$H$64,2,0),"Revisar error" )))</f>
        <v>Actualizando información</v>
      </c>
    </row>
    <row r="498" spans="1:23" x14ac:dyDescent="0.25">
      <c r="A498" s="3">
        <v>2001</v>
      </c>
      <c r="B498" s="3" t="s">
        <v>598</v>
      </c>
      <c r="C498" s="3" t="s">
        <v>7</v>
      </c>
      <c r="D498" s="3" t="s">
        <v>12</v>
      </c>
      <c r="E498" s="3" t="s">
        <v>13</v>
      </c>
      <c r="F498" s="3" t="s">
        <v>329</v>
      </c>
      <c r="G498" s="3"/>
      <c r="H498" s="12"/>
      <c r="I498" s="13"/>
      <c r="J498" s="10"/>
      <c r="K498" s="3"/>
      <c r="L498" s="3"/>
      <c r="M498" s="3"/>
      <c r="N498" s="3"/>
      <c r="O498" s="3"/>
      <c r="P498" s="3"/>
      <c r="Q498" s="3"/>
      <c r="R498" s="3"/>
      <c r="S498" s="3"/>
      <c r="T498" s="3"/>
      <c r="U498" s="3"/>
      <c r="V498" s="3"/>
      <c r="W498" s="10" t="str">
        <f>IF( J498="s.i", "s.i", IF(ISBLANK(J498),"Actualizando información",IFERROR(J498 / VLOOKUP(A498,Deflactor!$G$3:$H$64,2,0),"Revisar error" )))</f>
        <v>Actualizando información</v>
      </c>
    </row>
    <row r="499" spans="1:23" x14ac:dyDescent="0.25">
      <c r="A499" s="3">
        <v>2001</v>
      </c>
      <c r="B499" s="3" t="s">
        <v>599</v>
      </c>
      <c r="C499" s="3" t="s">
        <v>7</v>
      </c>
      <c r="D499" s="3" t="s">
        <v>36</v>
      </c>
      <c r="E499" s="3" t="s">
        <v>37</v>
      </c>
      <c r="F499" s="3" t="s">
        <v>308</v>
      </c>
      <c r="G499" s="3"/>
      <c r="H499" s="12"/>
      <c r="I499" s="13"/>
      <c r="J499" s="10"/>
      <c r="K499" s="3"/>
      <c r="L499" s="3"/>
      <c r="M499" s="3"/>
      <c r="N499" s="3"/>
      <c r="O499" s="3"/>
      <c r="P499" s="3"/>
      <c r="Q499" s="3"/>
      <c r="R499" s="3"/>
      <c r="S499" s="3"/>
      <c r="T499" s="3"/>
      <c r="U499" s="3"/>
      <c r="V499" s="3"/>
      <c r="W499" s="10" t="str">
        <f>IF( J499="s.i", "s.i", IF(ISBLANK(J499),"Actualizando información",IFERROR(J499 / VLOOKUP(A499,Deflactor!$G$3:$H$64,2,0),"Revisar error" )))</f>
        <v>Actualizando información</v>
      </c>
    </row>
    <row r="500" spans="1:23" x14ac:dyDescent="0.25">
      <c r="A500" s="3">
        <v>2001</v>
      </c>
      <c r="B500" s="3" t="s">
        <v>600</v>
      </c>
      <c r="C500" s="3" t="s">
        <v>7</v>
      </c>
      <c r="D500" s="3" t="s">
        <v>71</v>
      </c>
      <c r="E500" s="3" t="s">
        <v>167</v>
      </c>
      <c r="F500" s="3" t="s">
        <v>310</v>
      </c>
      <c r="G500" s="3"/>
      <c r="H500" s="12"/>
      <c r="I500" s="13"/>
      <c r="J500" s="10"/>
      <c r="K500" s="3"/>
      <c r="L500" s="3"/>
      <c r="M500" s="3"/>
      <c r="N500" s="3"/>
      <c r="O500" s="3"/>
      <c r="P500" s="3"/>
      <c r="Q500" s="3"/>
      <c r="R500" s="3"/>
      <c r="S500" s="3"/>
      <c r="T500" s="3"/>
      <c r="U500" s="3"/>
      <c r="V500" s="3"/>
      <c r="W500" s="10" t="str">
        <f>IF( J500="s.i", "s.i", IF(ISBLANK(J500),"Actualizando información",IFERROR(J500 / VLOOKUP(A500,Deflactor!$G$3:$H$64,2,0),"Revisar error" )))</f>
        <v>Actualizando información</v>
      </c>
    </row>
    <row r="501" spans="1:23" x14ac:dyDescent="0.25">
      <c r="A501" s="3">
        <v>2001</v>
      </c>
      <c r="B501" s="3" t="s">
        <v>601</v>
      </c>
      <c r="C501" s="3" t="s">
        <v>7</v>
      </c>
      <c r="D501" s="3" t="s">
        <v>64</v>
      </c>
      <c r="E501" s="3" t="s">
        <v>65</v>
      </c>
      <c r="F501" s="3" t="s">
        <v>351</v>
      </c>
      <c r="G501" s="3"/>
      <c r="H501" s="12"/>
      <c r="I501" s="13"/>
      <c r="J501" s="10"/>
      <c r="K501" s="3"/>
      <c r="L501" s="3"/>
      <c r="M501" s="3"/>
      <c r="N501" s="3"/>
      <c r="O501" s="3"/>
      <c r="P501" s="3"/>
      <c r="Q501" s="3"/>
      <c r="R501" s="3"/>
      <c r="S501" s="3"/>
      <c r="T501" s="3"/>
      <c r="U501" s="3"/>
      <c r="V501" s="3"/>
      <c r="W501" s="10" t="str">
        <f>IF( J501="s.i", "s.i", IF(ISBLANK(J501),"Actualizando información",IFERROR(J501 / VLOOKUP(A501,Deflactor!$G$3:$H$64,2,0),"Revisar error" )))</f>
        <v>Actualizando información</v>
      </c>
    </row>
    <row r="502" spans="1:23" x14ac:dyDescent="0.25">
      <c r="A502" s="3">
        <v>2001</v>
      </c>
      <c r="B502" s="3" t="s">
        <v>602</v>
      </c>
      <c r="C502" s="3" t="s">
        <v>7</v>
      </c>
      <c r="D502" s="3" t="s">
        <v>32</v>
      </c>
      <c r="E502" s="3" t="s">
        <v>33</v>
      </c>
      <c r="F502" s="3" t="s">
        <v>310</v>
      </c>
      <c r="G502" s="3"/>
      <c r="H502" s="12"/>
      <c r="I502" s="13"/>
      <c r="J502" s="10"/>
      <c r="K502" s="3"/>
      <c r="L502" s="3"/>
      <c r="M502" s="3"/>
      <c r="N502" s="3"/>
      <c r="O502" s="3"/>
      <c r="P502" s="3"/>
      <c r="Q502" s="3"/>
      <c r="R502" s="3"/>
      <c r="S502" s="3"/>
      <c r="T502" s="3"/>
      <c r="U502" s="3"/>
      <c r="V502" s="3"/>
      <c r="W502" s="10" t="str">
        <f>IF( J502="s.i", "s.i", IF(ISBLANK(J502),"Actualizando información",IFERROR(J502 / VLOOKUP(A502,Deflactor!$G$3:$H$64,2,0),"Revisar error" )))</f>
        <v>Actualizando información</v>
      </c>
    </row>
    <row r="503" spans="1:23" x14ac:dyDescent="0.25">
      <c r="A503" s="3">
        <v>2001</v>
      </c>
      <c r="B503" s="3" t="s">
        <v>603</v>
      </c>
      <c r="C503" s="3" t="s">
        <v>7</v>
      </c>
      <c r="D503" s="3" t="s">
        <v>290</v>
      </c>
      <c r="E503" s="3" t="s">
        <v>120</v>
      </c>
      <c r="F503" s="3" t="s">
        <v>329</v>
      </c>
      <c r="G503" s="3"/>
      <c r="H503" s="12"/>
      <c r="I503" s="13"/>
      <c r="J503" s="10"/>
      <c r="K503" s="3"/>
      <c r="L503" s="3"/>
      <c r="M503" s="3"/>
      <c r="N503" s="3"/>
      <c r="O503" s="3"/>
      <c r="P503" s="3"/>
      <c r="Q503" s="3"/>
      <c r="R503" s="3"/>
      <c r="S503" s="3"/>
      <c r="T503" s="3"/>
      <c r="U503" s="3"/>
      <c r="V503" s="3"/>
      <c r="W503" s="10" t="str">
        <f>IF( J503="s.i", "s.i", IF(ISBLANK(J503),"Actualizando información",IFERROR(J503 / VLOOKUP(A503,Deflactor!$G$3:$H$64,2,0),"Revisar error" )))</f>
        <v>Actualizando información</v>
      </c>
    </row>
    <row r="504" spans="1:23" x14ac:dyDescent="0.25">
      <c r="A504" s="3">
        <v>2001</v>
      </c>
      <c r="B504" s="3" t="s">
        <v>604</v>
      </c>
      <c r="C504" s="3" t="s">
        <v>7</v>
      </c>
      <c r="D504" s="3" t="s">
        <v>397</v>
      </c>
      <c r="E504" s="3" t="s">
        <v>398</v>
      </c>
      <c r="F504" s="3" t="s">
        <v>351</v>
      </c>
      <c r="G504" s="3"/>
      <c r="H504" s="12"/>
      <c r="I504" s="13"/>
      <c r="J504" s="10"/>
      <c r="K504" s="3"/>
      <c r="L504" s="3"/>
      <c r="M504" s="3"/>
      <c r="N504" s="3"/>
      <c r="O504" s="3"/>
      <c r="P504" s="3"/>
      <c r="Q504" s="3"/>
      <c r="R504" s="3"/>
      <c r="S504" s="3"/>
      <c r="T504" s="3"/>
      <c r="U504" s="3"/>
      <c r="V504" s="3"/>
      <c r="W504" s="10" t="str">
        <f>IF( J504="s.i", "s.i", IF(ISBLANK(J504),"Actualizando información",IFERROR(J504 / VLOOKUP(A504,Deflactor!$G$3:$H$64,2,0),"Revisar error" )))</f>
        <v>Actualizando información</v>
      </c>
    </row>
    <row r="505" spans="1:23" x14ac:dyDescent="0.25">
      <c r="A505" s="3">
        <v>2001</v>
      </c>
      <c r="B505" s="3" t="s">
        <v>605</v>
      </c>
      <c r="C505" s="3" t="s">
        <v>7</v>
      </c>
      <c r="D505" s="3" t="s">
        <v>397</v>
      </c>
      <c r="E505" s="3" t="s">
        <v>398</v>
      </c>
      <c r="F505" s="3" t="s">
        <v>351</v>
      </c>
      <c r="G505" s="3"/>
      <c r="H505" s="12"/>
      <c r="I505" s="13"/>
      <c r="J505" s="10"/>
      <c r="K505" s="3"/>
      <c r="L505" s="3"/>
      <c r="M505" s="3"/>
      <c r="N505" s="3"/>
      <c r="O505" s="3"/>
      <c r="P505" s="3"/>
      <c r="Q505" s="3"/>
      <c r="R505" s="3"/>
      <c r="S505" s="3"/>
      <c r="T505" s="3"/>
      <c r="U505" s="3"/>
      <c r="V505" s="3"/>
      <c r="W505" s="10" t="str">
        <f>IF( J505="s.i", "s.i", IF(ISBLANK(J505),"Actualizando información",IFERROR(J505 / VLOOKUP(A505,Deflactor!$G$3:$H$64,2,0),"Revisar error" )))</f>
        <v>Actualizando información</v>
      </c>
    </row>
    <row r="506" spans="1:23" x14ac:dyDescent="0.25">
      <c r="A506" s="3">
        <v>2001</v>
      </c>
      <c r="B506" s="3" t="s">
        <v>606</v>
      </c>
      <c r="C506" s="3" t="s">
        <v>92</v>
      </c>
      <c r="D506" s="3" t="s">
        <v>290</v>
      </c>
      <c r="E506" s="3" t="s">
        <v>21</v>
      </c>
      <c r="F506" s="3" t="s">
        <v>329</v>
      </c>
      <c r="G506" s="3"/>
      <c r="H506" s="12"/>
      <c r="I506" s="13"/>
      <c r="J506" s="10"/>
      <c r="K506" s="3"/>
      <c r="L506" s="3"/>
      <c r="M506" s="3"/>
      <c r="N506" s="3"/>
      <c r="O506" s="3"/>
      <c r="P506" s="3"/>
      <c r="Q506" s="3"/>
      <c r="R506" s="3"/>
      <c r="S506" s="3"/>
      <c r="T506" s="3"/>
      <c r="U506" s="3"/>
      <c r="V506" s="3"/>
      <c r="W506" s="10" t="str">
        <f>IF( J506="s.i", "s.i", IF(ISBLANK(J506),"Actualizando información",IFERROR(J506 / VLOOKUP(A506,Deflactor!$G$3:$H$64,2,0),"Revisar error" )))</f>
        <v>Actualizando información</v>
      </c>
    </row>
    <row r="507" spans="1:23" x14ac:dyDescent="0.25">
      <c r="A507" s="3">
        <v>2001</v>
      </c>
      <c r="B507" s="3" t="s">
        <v>607</v>
      </c>
      <c r="C507" s="3" t="s">
        <v>92</v>
      </c>
      <c r="D507" s="3" t="s">
        <v>48</v>
      </c>
      <c r="E507" s="3" t="s">
        <v>88</v>
      </c>
      <c r="F507" s="3" t="s">
        <v>329</v>
      </c>
      <c r="G507" s="3"/>
      <c r="H507" s="12"/>
      <c r="I507" s="13"/>
      <c r="J507" s="10"/>
      <c r="K507" s="3"/>
      <c r="L507" s="3"/>
      <c r="M507" s="3"/>
      <c r="N507" s="3"/>
      <c r="O507" s="3"/>
      <c r="P507" s="3"/>
      <c r="Q507" s="3"/>
      <c r="R507" s="3"/>
      <c r="S507" s="3"/>
      <c r="T507" s="3"/>
      <c r="U507" s="3"/>
      <c r="V507" s="3"/>
      <c r="W507" s="10" t="str">
        <f>IF( J507="s.i", "s.i", IF(ISBLANK(J507),"Actualizando información",IFERROR(J507 / VLOOKUP(A507,Deflactor!$G$3:$H$64,2,0),"Revisar error" )))</f>
        <v>Actualizando información</v>
      </c>
    </row>
    <row r="508" spans="1:23" x14ac:dyDescent="0.25">
      <c r="A508" s="3">
        <v>2001</v>
      </c>
      <c r="B508" s="3" t="s">
        <v>608</v>
      </c>
      <c r="C508" s="3" t="s">
        <v>7</v>
      </c>
      <c r="D508" s="3" t="s">
        <v>54</v>
      </c>
      <c r="E508" s="3" t="s">
        <v>55</v>
      </c>
      <c r="F508" s="3" t="s">
        <v>310</v>
      </c>
      <c r="G508" s="3"/>
      <c r="H508" s="12"/>
      <c r="I508" s="13"/>
      <c r="J508" s="10"/>
      <c r="K508" s="3"/>
      <c r="L508" s="3"/>
      <c r="M508" s="3"/>
      <c r="N508" s="3"/>
      <c r="O508" s="3"/>
      <c r="P508" s="3"/>
      <c r="Q508" s="3"/>
      <c r="R508" s="3"/>
      <c r="S508" s="3"/>
      <c r="T508" s="3"/>
      <c r="U508" s="3"/>
      <c r="V508" s="3"/>
      <c r="W508" s="10" t="str">
        <f>IF( J508="s.i", "s.i", IF(ISBLANK(J508),"Actualizando información",IFERROR(J508 / VLOOKUP(A508,Deflactor!$G$3:$H$64,2,0),"Revisar error" )))</f>
        <v>Actualizando información</v>
      </c>
    </row>
    <row r="509" spans="1:23" x14ac:dyDescent="0.25">
      <c r="A509" s="3">
        <v>2001</v>
      </c>
      <c r="B509" s="3" t="s">
        <v>609</v>
      </c>
      <c r="C509" s="3" t="s">
        <v>7</v>
      </c>
      <c r="D509" s="3" t="s">
        <v>64</v>
      </c>
      <c r="E509" s="3" t="s">
        <v>65</v>
      </c>
      <c r="F509" s="3" t="s">
        <v>310</v>
      </c>
      <c r="G509" s="3"/>
      <c r="H509" s="12"/>
      <c r="I509" s="13"/>
      <c r="J509" s="10"/>
      <c r="K509" s="3"/>
      <c r="L509" s="3"/>
      <c r="M509" s="3"/>
      <c r="N509" s="3"/>
      <c r="O509" s="3"/>
      <c r="P509" s="3"/>
      <c r="Q509" s="3"/>
      <c r="R509" s="3"/>
      <c r="S509" s="3"/>
      <c r="T509" s="3"/>
      <c r="U509" s="3"/>
      <c r="V509" s="3"/>
      <c r="W509" s="10" t="str">
        <f>IF( J509="s.i", "s.i", IF(ISBLANK(J509),"Actualizando información",IFERROR(J509 / VLOOKUP(A509,Deflactor!$G$3:$H$64,2,0),"Revisar error" )))</f>
        <v>Actualizando información</v>
      </c>
    </row>
    <row r="510" spans="1:23" x14ac:dyDescent="0.25">
      <c r="A510" s="3">
        <v>2001</v>
      </c>
      <c r="B510" s="3" t="s">
        <v>610</v>
      </c>
      <c r="C510" s="3" t="s">
        <v>7</v>
      </c>
      <c r="D510" s="3" t="s">
        <v>64</v>
      </c>
      <c r="E510" s="3" t="s">
        <v>65</v>
      </c>
      <c r="F510" s="3" t="s">
        <v>329</v>
      </c>
      <c r="G510" s="3"/>
      <c r="H510" s="12"/>
      <c r="I510" s="13"/>
      <c r="J510" s="10"/>
      <c r="K510" s="3"/>
      <c r="L510" s="3"/>
      <c r="M510" s="3"/>
      <c r="N510" s="3"/>
      <c r="O510" s="3"/>
      <c r="P510" s="3"/>
      <c r="Q510" s="3"/>
      <c r="R510" s="3"/>
      <c r="S510" s="3"/>
      <c r="T510" s="3"/>
      <c r="U510" s="3"/>
      <c r="V510" s="3"/>
      <c r="W510" s="10" t="str">
        <f>IF( J510="s.i", "s.i", IF(ISBLANK(J510),"Actualizando información",IFERROR(J510 / VLOOKUP(A510,Deflactor!$G$3:$H$64,2,0),"Revisar error" )))</f>
        <v>Actualizando información</v>
      </c>
    </row>
    <row r="511" spans="1:23" x14ac:dyDescent="0.25">
      <c r="A511" s="3">
        <v>2001</v>
      </c>
      <c r="B511" s="3" t="s">
        <v>611</v>
      </c>
      <c r="C511" s="3" t="s">
        <v>7</v>
      </c>
      <c r="D511" s="3" t="s">
        <v>164</v>
      </c>
      <c r="E511" s="3" t="s">
        <v>165</v>
      </c>
      <c r="F511" s="3" t="s">
        <v>308</v>
      </c>
      <c r="G511" s="3"/>
      <c r="H511" s="12"/>
      <c r="I511" s="13"/>
      <c r="J511" s="10"/>
      <c r="K511" s="3"/>
      <c r="L511" s="3"/>
      <c r="M511" s="3"/>
      <c r="N511" s="3"/>
      <c r="O511" s="3"/>
      <c r="P511" s="3"/>
      <c r="Q511" s="3"/>
      <c r="R511" s="3"/>
      <c r="S511" s="3"/>
      <c r="T511" s="3"/>
      <c r="U511" s="3"/>
      <c r="V511" s="3"/>
      <c r="W511" s="10" t="str">
        <f>IF( J511="s.i", "s.i", IF(ISBLANK(J511),"Actualizando información",IFERROR(J511 / VLOOKUP(A511,Deflactor!$G$3:$H$64,2,0),"Revisar error" )))</f>
        <v>Actualizando información</v>
      </c>
    </row>
    <row r="512" spans="1:23" x14ac:dyDescent="0.25">
      <c r="A512" s="3">
        <v>2001</v>
      </c>
      <c r="B512" s="3" t="s">
        <v>612</v>
      </c>
      <c r="C512" s="3" t="s">
        <v>7</v>
      </c>
      <c r="D512" s="3" t="s">
        <v>8</v>
      </c>
      <c r="E512" s="3" t="s">
        <v>156</v>
      </c>
      <c r="F512" s="3" t="s">
        <v>351</v>
      </c>
      <c r="G512" s="3"/>
      <c r="H512" s="12"/>
      <c r="I512" s="13"/>
      <c r="J512" s="10"/>
      <c r="K512" s="3"/>
      <c r="L512" s="3"/>
      <c r="M512" s="3"/>
      <c r="N512" s="3"/>
      <c r="O512" s="3"/>
      <c r="P512" s="3"/>
      <c r="Q512" s="3"/>
      <c r="R512" s="3"/>
      <c r="S512" s="3"/>
      <c r="T512" s="3"/>
      <c r="U512" s="3"/>
      <c r="V512" s="3"/>
      <c r="W512" s="10" t="str">
        <f>IF( J512="s.i", "s.i", IF(ISBLANK(J512),"Actualizando información",IFERROR(J512 / VLOOKUP(A512,Deflactor!$G$3:$H$64,2,0),"Revisar error" )))</f>
        <v>Actualizando información</v>
      </c>
    </row>
    <row r="513" spans="1:23" x14ac:dyDescent="0.25">
      <c r="A513" s="3">
        <v>2001</v>
      </c>
      <c r="B513" s="3" t="s">
        <v>613</v>
      </c>
      <c r="C513" s="3" t="s">
        <v>7</v>
      </c>
      <c r="D513" s="3" t="s">
        <v>71</v>
      </c>
      <c r="E513" s="3" t="s">
        <v>614</v>
      </c>
      <c r="F513" s="3" t="s">
        <v>351</v>
      </c>
      <c r="G513" s="3"/>
      <c r="H513" s="12"/>
      <c r="I513" s="13"/>
      <c r="J513" s="10"/>
      <c r="K513" s="3"/>
      <c r="L513" s="3"/>
      <c r="M513" s="3"/>
      <c r="N513" s="3"/>
      <c r="O513" s="3"/>
      <c r="P513" s="3"/>
      <c r="Q513" s="3"/>
      <c r="R513" s="3"/>
      <c r="S513" s="3"/>
      <c r="T513" s="3"/>
      <c r="U513" s="3"/>
      <c r="V513" s="3"/>
      <c r="W513" s="10" t="str">
        <f>IF( J513="s.i", "s.i", IF(ISBLANK(J513),"Actualizando información",IFERROR(J513 / VLOOKUP(A513,Deflactor!$G$3:$H$64,2,0),"Revisar error" )))</f>
        <v>Actualizando información</v>
      </c>
    </row>
    <row r="514" spans="1:23" x14ac:dyDescent="0.25">
      <c r="A514" s="3">
        <v>2001</v>
      </c>
      <c r="B514" s="3" t="s">
        <v>615</v>
      </c>
      <c r="C514" s="3" t="s">
        <v>7</v>
      </c>
      <c r="D514" s="3" t="s">
        <v>36</v>
      </c>
      <c r="E514" s="3" t="s">
        <v>37</v>
      </c>
      <c r="F514" s="3" t="s">
        <v>308</v>
      </c>
      <c r="G514" s="3"/>
      <c r="H514" s="12"/>
      <c r="I514" s="13"/>
      <c r="J514" s="10"/>
      <c r="K514" s="3" t="s">
        <v>2161</v>
      </c>
      <c r="L514" s="3"/>
      <c r="M514" s="3"/>
      <c r="N514" s="3"/>
      <c r="O514" s="3"/>
      <c r="P514" s="3"/>
      <c r="Q514" s="3"/>
      <c r="R514" s="3"/>
      <c r="S514" s="3"/>
      <c r="T514" s="3"/>
      <c r="U514" s="3"/>
      <c r="V514" s="3"/>
      <c r="W514" s="10" t="str">
        <f>IF( J514="s.i", "s.i", IF(ISBLANK(J514),"Actualizando información",IFERROR(J514 / VLOOKUP(A514,Deflactor!$G$3:$H$64,2,0),"Revisar error" )))</f>
        <v>Actualizando información</v>
      </c>
    </row>
    <row r="515" spans="1:23" x14ac:dyDescent="0.25">
      <c r="A515" s="3">
        <v>2001</v>
      </c>
      <c r="B515" s="3" t="s">
        <v>616</v>
      </c>
      <c r="C515" s="3" t="s">
        <v>7</v>
      </c>
      <c r="D515" s="3" t="s">
        <v>36</v>
      </c>
      <c r="E515" s="3" t="s">
        <v>37</v>
      </c>
      <c r="F515" s="3" t="s">
        <v>329</v>
      </c>
      <c r="G515" s="3"/>
      <c r="H515" s="12"/>
      <c r="I515" s="13"/>
      <c r="J515" s="10"/>
      <c r="K515" s="3"/>
      <c r="L515" s="3"/>
      <c r="M515" s="3"/>
      <c r="N515" s="3"/>
      <c r="O515" s="3"/>
      <c r="P515" s="3"/>
      <c r="Q515" s="3"/>
      <c r="R515" s="3"/>
      <c r="S515" s="3"/>
      <c r="T515" s="3"/>
      <c r="U515" s="3"/>
      <c r="V515" s="3"/>
      <c r="W515" s="10" t="str">
        <f>IF( J515="s.i", "s.i", IF(ISBLANK(J515),"Actualizando información",IFERROR(J515 / VLOOKUP(A515,Deflactor!$G$3:$H$64,2,0),"Revisar error" )))</f>
        <v>Actualizando información</v>
      </c>
    </row>
    <row r="516" spans="1:23" x14ac:dyDescent="0.25">
      <c r="A516" s="3">
        <v>2001</v>
      </c>
      <c r="B516" s="3" t="s">
        <v>617</v>
      </c>
      <c r="C516" s="3" t="s">
        <v>7</v>
      </c>
      <c r="D516" s="3" t="s">
        <v>12</v>
      </c>
      <c r="E516" s="3" t="s">
        <v>403</v>
      </c>
      <c r="F516" s="3" t="s">
        <v>329</v>
      </c>
      <c r="G516" s="3"/>
      <c r="H516" s="12"/>
      <c r="I516" s="13"/>
      <c r="J516" s="10"/>
      <c r="K516" s="3"/>
      <c r="L516" s="3"/>
      <c r="M516" s="3"/>
      <c r="N516" s="3"/>
      <c r="O516" s="3"/>
      <c r="P516" s="3"/>
      <c r="Q516" s="3"/>
      <c r="R516" s="3"/>
      <c r="S516" s="3"/>
      <c r="T516" s="3"/>
      <c r="U516" s="3"/>
      <c r="V516" s="3"/>
      <c r="W516" s="10" t="str">
        <f>IF( J516="s.i", "s.i", IF(ISBLANK(J516),"Actualizando información",IFERROR(J516 / VLOOKUP(A516,Deflactor!$G$3:$H$64,2,0),"Revisar error" )))</f>
        <v>Actualizando información</v>
      </c>
    </row>
    <row r="517" spans="1:23" x14ac:dyDescent="0.25">
      <c r="A517" s="3">
        <v>2000</v>
      </c>
      <c r="B517" s="3" t="s">
        <v>618</v>
      </c>
      <c r="C517" s="3" t="s">
        <v>7</v>
      </c>
      <c r="D517" s="3" t="s">
        <v>36</v>
      </c>
      <c r="E517" s="3" t="s">
        <v>37</v>
      </c>
      <c r="F517" s="3" t="s">
        <v>351</v>
      </c>
      <c r="G517" s="3"/>
      <c r="H517" s="12"/>
      <c r="I517" s="13"/>
      <c r="J517" s="10"/>
      <c r="K517" s="3"/>
      <c r="L517" s="3"/>
      <c r="M517" s="3"/>
      <c r="N517" s="3"/>
      <c r="O517" s="3"/>
      <c r="P517" s="3"/>
      <c r="Q517" s="3"/>
      <c r="R517" s="3"/>
      <c r="S517" s="3"/>
      <c r="T517" s="3"/>
      <c r="U517" s="3"/>
      <c r="V517" s="3"/>
      <c r="W517" s="10" t="str">
        <f>IF( J517="s.i", "s.i", IF(ISBLANK(J517),"Actualizando información",IFERROR(J517 / VLOOKUP(A517,Deflactor!$G$3:$H$64,2,0),"Revisar error" )))</f>
        <v>Actualizando información</v>
      </c>
    </row>
    <row r="518" spans="1:23" x14ac:dyDescent="0.25">
      <c r="A518" s="3">
        <v>2000</v>
      </c>
      <c r="B518" s="3" t="s">
        <v>619</v>
      </c>
      <c r="C518" s="3" t="s">
        <v>7</v>
      </c>
      <c r="D518" s="3" t="s">
        <v>36</v>
      </c>
      <c r="E518" s="3" t="s">
        <v>37</v>
      </c>
      <c r="F518" s="3" t="s">
        <v>351</v>
      </c>
      <c r="G518" s="3"/>
      <c r="H518" s="12"/>
      <c r="I518" s="13"/>
      <c r="J518" s="10"/>
      <c r="K518" s="3"/>
      <c r="L518" s="3"/>
      <c r="M518" s="3"/>
      <c r="N518" s="3"/>
      <c r="O518" s="3"/>
      <c r="P518" s="3"/>
      <c r="Q518" s="3"/>
      <c r="R518" s="3"/>
      <c r="S518" s="3"/>
      <c r="T518" s="3"/>
      <c r="U518" s="3"/>
      <c r="V518" s="3"/>
      <c r="W518" s="10" t="str">
        <f>IF( J518="s.i", "s.i", IF(ISBLANK(J518),"Actualizando información",IFERROR(J518 / VLOOKUP(A518,Deflactor!$G$3:$H$64,2,0),"Revisar error" )))</f>
        <v>Actualizando información</v>
      </c>
    </row>
    <row r="519" spans="1:23" x14ac:dyDescent="0.25">
      <c r="A519" s="3">
        <v>2000</v>
      </c>
      <c r="B519" s="3" t="s">
        <v>620</v>
      </c>
      <c r="C519" s="3" t="s">
        <v>7</v>
      </c>
      <c r="D519" s="3" t="s">
        <v>36</v>
      </c>
      <c r="E519" s="3" t="s">
        <v>37</v>
      </c>
      <c r="F519" s="3" t="s">
        <v>310</v>
      </c>
      <c r="G519" s="3"/>
      <c r="H519" s="12"/>
      <c r="I519" s="13"/>
      <c r="J519" s="10"/>
      <c r="K519" s="3"/>
      <c r="L519" s="3"/>
      <c r="M519" s="3"/>
      <c r="N519" s="3"/>
      <c r="O519" s="3"/>
      <c r="P519" s="3"/>
      <c r="Q519" s="3"/>
      <c r="R519" s="3"/>
      <c r="S519" s="3"/>
      <c r="T519" s="3"/>
      <c r="U519" s="3"/>
      <c r="V519" s="3"/>
      <c r="W519" s="10" t="str">
        <f>IF( J519="s.i", "s.i", IF(ISBLANK(J519),"Actualizando información",IFERROR(J519 / VLOOKUP(A519,Deflactor!$G$3:$H$64,2,0),"Revisar error" )))</f>
        <v>Actualizando información</v>
      </c>
    </row>
    <row r="520" spans="1:23" x14ac:dyDescent="0.25">
      <c r="A520" s="3">
        <v>2000</v>
      </c>
      <c r="B520" s="3" t="s">
        <v>621</v>
      </c>
      <c r="C520" s="3" t="s">
        <v>7</v>
      </c>
      <c r="D520" s="3" t="s">
        <v>45</v>
      </c>
      <c r="E520" s="3" t="s">
        <v>407</v>
      </c>
      <c r="F520" s="3" t="s">
        <v>329</v>
      </c>
      <c r="G520" s="3"/>
      <c r="H520" s="12"/>
      <c r="I520" s="13"/>
      <c r="J520" s="10"/>
      <c r="K520" s="3"/>
      <c r="L520" s="3"/>
      <c r="M520" s="3"/>
      <c r="N520" s="3"/>
      <c r="O520" s="3"/>
      <c r="P520" s="3"/>
      <c r="Q520" s="3"/>
      <c r="R520" s="3"/>
      <c r="S520" s="3"/>
      <c r="T520" s="3"/>
      <c r="U520" s="3"/>
      <c r="V520" s="3"/>
      <c r="W520" s="10" t="str">
        <f>IF( J520="s.i", "s.i", IF(ISBLANK(J520),"Actualizando información",IFERROR(J520 / VLOOKUP(A520,Deflactor!$G$3:$H$64,2,0),"Revisar error" )))</f>
        <v>Actualizando información</v>
      </c>
    </row>
    <row r="521" spans="1:23" x14ac:dyDescent="0.25">
      <c r="A521" s="3">
        <v>2000</v>
      </c>
      <c r="B521" s="3" t="s">
        <v>622</v>
      </c>
      <c r="C521" s="3" t="s">
        <v>7</v>
      </c>
      <c r="D521" s="3" t="s">
        <v>397</v>
      </c>
      <c r="E521" s="3" t="s">
        <v>398</v>
      </c>
      <c r="F521" s="3" t="s">
        <v>623</v>
      </c>
      <c r="G521" s="3"/>
      <c r="H521" s="12"/>
      <c r="I521" s="13"/>
      <c r="J521" s="10"/>
      <c r="K521" s="3"/>
      <c r="L521" s="3"/>
      <c r="M521" s="3"/>
      <c r="N521" s="3"/>
      <c r="O521" s="3"/>
      <c r="P521" s="3"/>
      <c r="Q521" s="3"/>
      <c r="R521" s="3"/>
      <c r="S521" s="3"/>
      <c r="T521" s="3"/>
      <c r="U521" s="3"/>
      <c r="V521" s="3"/>
      <c r="W521" s="10" t="str">
        <f>IF( J521="s.i", "s.i", IF(ISBLANK(J521),"Actualizando información",IFERROR(J521 / VLOOKUP(A521,Deflactor!$G$3:$H$64,2,0),"Revisar error" )))</f>
        <v>Actualizando información</v>
      </c>
    </row>
    <row r="522" spans="1:23" x14ac:dyDescent="0.25">
      <c r="A522" s="3">
        <v>2000</v>
      </c>
      <c r="B522" s="3" t="s">
        <v>624</v>
      </c>
      <c r="C522" s="3" t="s">
        <v>7</v>
      </c>
      <c r="D522" s="3" t="s">
        <v>32</v>
      </c>
      <c r="E522" s="3" t="s">
        <v>33</v>
      </c>
      <c r="F522" s="3" t="s">
        <v>310</v>
      </c>
      <c r="G522" s="3"/>
      <c r="H522" s="12"/>
      <c r="I522" s="13"/>
      <c r="J522" s="10"/>
      <c r="K522" s="3"/>
      <c r="L522" s="3"/>
      <c r="M522" s="3"/>
      <c r="N522" s="3"/>
      <c r="O522" s="3"/>
      <c r="P522" s="3"/>
      <c r="Q522" s="3"/>
      <c r="R522" s="3"/>
      <c r="S522" s="3"/>
      <c r="T522" s="3"/>
      <c r="U522" s="3"/>
      <c r="V522" s="3"/>
      <c r="W522" s="10" t="str">
        <f>IF( J522="s.i", "s.i", IF(ISBLANK(J522),"Actualizando información",IFERROR(J522 / VLOOKUP(A522,Deflactor!$G$3:$H$64,2,0),"Revisar error" )))</f>
        <v>Actualizando información</v>
      </c>
    </row>
    <row r="523" spans="1:23" x14ac:dyDescent="0.25">
      <c r="A523" s="3">
        <v>2000</v>
      </c>
      <c r="B523" s="3" t="s">
        <v>206</v>
      </c>
      <c r="C523" s="3" t="s">
        <v>7</v>
      </c>
      <c r="D523" s="3" t="s">
        <v>36</v>
      </c>
      <c r="E523" s="3" t="s">
        <v>81</v>
      </c>
      <c r="F523" s="3" t="s">
        <v>329</v>
      </c>
      <c r="G523" s="3"/>
      <c r="H523" s="12"/>
      <c r="I523" s="13"/>
      <c r="J523" s="10"/>
      <c r="K523" s="3"/>
      <c r="L523" s="3"/>
      <c r="M523" s="3"/>
      <c r="N523" s="3"/>
      <c r="O523" s="3"/>
      <c r="P523" s="3"/>
      <c r="Q523" s="3"/>
      <c r="R523" s="3"/>
      <c r="S523" s="3"/>
      <c r="T523" s="3"/>
      <c r="U523" s="3"/>
      <c r="V523" s="3"/>
      <c r="W523" s="10" t="str">
        <f>IF( J523="s.i", "s.i", IF(ISBLANK(J523),"Actualizando información",IFERROR(J523 / VLOOKUP(A523,Deflactor!$G$3:$H$64,2,0),"Revisar error" )))</f>
        <v>Actualizando información</v>
      </c>
    </row>
    <row r="524" spans="1:23" x14ac:dyDescent="0.25">
      <c r="A524" s="3">
        <v>2000</v>
      </c>
      <c r="B524" s="3" t="s">
        <v>625</v>
      </c>
      <c r="C524" s="3" t="s">
        <v>7</v>
      </c>
      <c r="D524" s="3" t="s">
        <v>444</v>
      </c>
      <c r="E524" s="3" t="s">
        <v>626</v>
      </c>
      <c r="F524" s="3" t="s">
        <v>329</v>
      </c>
      <c r="G524" s="3"/>
      <c r="H524" s="12"/>
      <c r="I524" s="13"/>
      <c r="J524" s="10"/>
      <c r="K524" s="3"/>
      <c r="L524" s="3"/>
      <c r="M524" s="3"/>
      <c r="N524" s="3"/>
      <c r="O524" s="3"/>
      <c r="P524" s="3"/>
      <c r="Q524" s="3"/>
      <c r="R524" s="3"/>
      <c r="S524" s="3"/>
      <c r="T524" s="3"/>
      <c r="U524" s="3"/>
      <c r="V524" s="3"/>
      <c r="W524" s="10" t="str">
        <f>IF( J524="s.i", "s.i", IF(ISBLANK(J524),"Actualizando información",IFERROR(J524 / VLOOKUP(A524,Deflactor!$G$3:$H$64,2,0),"Revisar error" )))</f>
        <v>Actualizando información</v>
      </c>
    </row>
    <row r="525" spans="1:23" x14ac:dyDescent="0.25">
      <c r="A525" s="3">
        <v>2000</v>
      </c>
      <c r="B525" s="3" t="s">
        <v>627</v>
      </c>
      <c r="C525" s="3" t="s">
        <v>7</v>
      </c>
      <c r="D525" s="3" t="s">
        <v>54</v>
      </c>
      <c r="E525" s="3" t="s">
        <v>243</v>
      </c>
      <c r="F525" s="3" t="s">
        <v>329</v>
      </c>
      <c r="G525" s="3"/>
      <c r="H525" s="12"/>
      <c r="I525" s="13"/>
      <c r="J525" s="10"/>
      <c r="K525" s="3"/>
      <c r="L525" s="3"/>
      <c r="M525" s="3"/>
      <c r="N525" s="3"/>
      <c r="O525" s="3"/>
      <c r="P525" s="3"/>
      <c r="Q525" s="3"/>
      <c r="R525" s="3"/>
      <c r="S525" s="3"/>
      <c r="T525" s="3"/>
      <c r="U525" s="3"/>
      <c r="V525" s="3"/>
      <c r="W525" s="10" t="str">
        <f>IF( J525="s.i", "s.i", IF(ISBLANK(J525),"Actualizando información",IFERROR(J525 / VLOOKUP(A525,Deflactor!$G$3:$H$64,2,0),"Revisar error" )))</f>
        <v>Actualizando información</v>
      </c>
    </row>
    <row r="526" spans="1:23" x14ac:dyDescent="0.25">
      <c r="A526" s="3">
        <v>2000</v>
      </c>
      <c r="B526" s="3" t="s">
        <v>628</v>
      </c>
      <c r="C526" s="3" t="s">
        <v>7</v>
      </c>
      <c r="D526" s="3" t="s">
        <v>40</v>
      </c>
      <c r="E526" s="3" t="s">
        <v>43</v>
      </c>
      <c r="F526" s="3" t="s">
        <v>329</v>
      </c>
      <c r="G526" s="3"/>
      <c r="H526" s="12"/>
      <c r="I526" s="13"/>
      <c r="J526" s="10"/>
      <c r="K526" s="3"/>
      <c r="L526" s="3"/>
      <c r="M526" s="3"/>
      <c r="N526" s="3"/>
      <c r="O526" s="3"/>
      <c r="P526" s="3"/>
      <c r="Q526" s="3"/>
      <c r="R526" s="3"/>
      <c r="S526" s="3"/>
      <c r="T526" s="3"/>
      <c r="U526" s="3"/>
      <c r="V526" s="3"/>
      <c r="W526" s="10" t="str">
        <f>IF( J526="s.i", "s.i", IF(ISBLANK(J526),"Actualizando información",IFERROR(J526 / VLOOKUP(A526,Deflactor!$G$3:$H$64,2,0),"Revisar error" )))</f>
        <v>Actualizando información</v>
      </c>
    </row>
    <row r="527" spans="1:23" x14ac:dyDescent="0.25">
      <c r="A527" s="3">
        <v>2000</v>
      </c>
      <c r="B527" s="3" t="s">
        <v>629</v>
      </c>
      <c r="C527" s="3" t="s">
        <v>7</v>
      </c>
      <c r="D527" s="3" t="s">
        <v>290</v>
      </c>
      <c r="E527" s="3" t="s">
        <v>176</v>
      </c>
      <c r="F527" s="3" t="s">
        <v>310</v>
      </c>
      <c r="G527" s="3"/>
      <c r="H527" s="12"/>
      <c r="I527" s="13"/>
      <c r="J527" s="10"/>
      <c r="K527" s="3"/>
      <c r="L527" s="3"/>
      <c r="M527" s="3"/>
      <c r="N527" s="3"/>
      <c r="O527" s="3"/>
      <c r="P527" s="3"/>
      <c r="Q527" s="3"/>
      <c r="R527" s="3"/>
      <c r="S527" s="3"/>
      <c r="T527" s="3"/>
      <c r="U527" s="3"/>
      <c r="V527" s="3"/>
      <c r="W527" s="10" t="str">
        <f>IF( J527="s.i", "s.i", IF(ISBLANK(J527),"Actualizando información",IFERROR(J527 / VLOOKUP(A527,Deflactor!$G$3:$H$64,2,0),"Revisar error" )))</f>
        <v>Actualizando información</v>
      </c>
    </row>
    <row r="528" spans="1:23" x14ac:dyDescent="0.25">
      <c r="A528" s="3">
        <v>2000</v>
      </c>
      <c r="B528" s="3" t="s">
        <v>630</v>
      </c>
      <c r="C528" s="3" t="s">
        <v>7</v>
      </c>
      <c r="D528" s="3" t="s">
        <v>233</v>
      </c>
      <c r="E528" s="3" t="s">
        <v>234</v>
      </c>
      <c r="F528" s="3" t="s">
        <v>351</v>
      </c>
      <c r="G528" s="3"/>
      <c r="H528" s="12"/>
      <c r="I528" s="13"/>
      <c r="J528" s="10"/>
      <c r="K528" s="3"/>
      <c r="L528" s="3"/>
      <c r="M528" s="3"/>
      <c r="N528" s="3"/>
      <c r="O528" s="3"/>
      <c r="P528" s="3"/>
      <c r="Q528" s="3"/>
      <c r="R528" s="3"/>
      <c r="S528" s="3"/>
      <c r="T528" s="3"/>
      <c r="U528" s="3"/>
      <c r="V528" s="3"/>
      <c r="W528" s="10" t="str">
        <f>IF( J528="s.i", "s.i", IF(ISBLANK(J528),"Actualizando información",IFERROR(J528 / VLOOKUP(A528,Deflactor!$G$3:$H$64,2,0),"Revisar error" )))</f>
        <v>Actualizando información</v>
      </c>
    </row>
    <row r="529" spans="1:23" x14ac:dyDescent="0.25">
      <c r="A529" s="3">
        <v>2000</v>
      </c>
      <c r="B529" s="3" t="s">
        <v>631</v>
      </c>
      <c r="C529" s="3" t="s">
        <v>7</v>
      </c>
      <c r="D529" s="3" t="s">
        <v>32</v>
      </c>
      <c r="E529" s="3" t="s">
        <v>33</v>
      </c>
      <c r="F529" s="3" t="s">
        <v>310</v>
      </c>
      <c r="G529" s="3"/>
      <c r="H529" s="12"/>
      <c r="I529" s="13"/>
      <c r="J529" s="10"/>
      <c r="K529" s="3"/>
      <c r="L529" s="3"/>
      <c r="M529" s="3"/>
      <c r="N529" s="3"/>
      <c r="O529" s="3"/>
      <c r="P529" s="3"/>
      <c r="Q529" s="3"/>
      <c r="R529" s="3"/>
      <c r="S529" s="3"/>
      <c r="T529" s="3"/>
      <c r="U529" s="3"/>
      <c r="V529" s="3"/>
      <c r="W529" s="10" t="str">
        <f>IF( J529="s.i", "s.i", IF(ISBLANK(J529),"Actualizando información",IFERROR(J529 / VLOOKUP(A529,Deflactor!$G$3:$H$64,2,0),"Revisar error" )))</f>
        <v>Actualizando información</v>
      </c>
    </row>
    <row r="530" spans="1:23" x14ac:dyDescent="0.25">
      <c r="A530" s="3">
        <v>2000</v>
      </c>
      <c r="B530" s="3" t="s">
        <v>632</v>
      </c>
      <c r="C530" s="3" t="s">
        <v>7</v>
      </c>
      <c r="D530" s="3" t="s">
        <v>25</v>
      </c>
      <c r="E530" s="3" t="s">
        <v>29</v>
      </c>
      <c r="F530" s="3" t="s">
        <v>329</v>
      </c>
      <c r="G530" s="3"/>
      <c r="H530" s="12"/>
      <c r="I530" s="13"/>
      <c r="J530" s="10"/>
      <c r="K530" s="3"/>
      <c r="L530" s="3"/>
      <c r="M530" s="3"/>
      <c r="N530" s="3"/>
      <c r="O530" s="3"/>
      <c r="P530" s="3"/>
      <c r="Q530" s="3"/>
      <c r="R530" s="3"/>
      <c r="S530" s="3"/>
      <c r="T530" s="3"/>
      <c r="U530" s="3"/>
      <c r="V530" s="3"/>
      <c r="W530" s="10" t="str">
        <f>IF( J530="s.i", "s.i", IF(ISBLANK(J530),"Actualizando información",IFERROR(J530 / VLOOKUP(A530,Deflactor!$G$3:$H$64,2,0),"Revisar error" )))</f>
        <v>Actualizando información</v>
      </c>
    </row>
    <row r="531" spans="1:23" x14ac:dyDescent="0.25">
      <c r="A531" s="3">
        <v>2000</v>
      </c>
      <c r="B531" s="3" t="s">
        <v>633</v>
      </c>
      <c r="C531" s="3" t="s">
        <v>7</v>
      </c>
      <c r="D531" s="3" t="s">
        <v>32</v>
      </c>
      <c r="E531" s="3" t="s">
        <v>33</v>
      </c>
      <c r="F531" s="3" t="s">
        <v>310</v>
      </c>
      <c r="G531" s="3"/>
      <c r="H531" s="12"/>
      <c r="I531" s="13"/>
      <c r="J531" s="10"/>
      <c r="K531" s="3"/>
      <c r="L531" s="3"/>
      <c r="M531" s="3"/>
      <c r="N531" s="3"/>
      <c r="O531" s="3"/>
      <c r="P531" s="3"/>
      <c r="Q531" s="3"/>
      <c r="R531" s="3"/>
      <c r="S531" s="3"/>
      <c r="T531" s="3"/>
      <c r="U531" s="3"/>
      <c r="V531" s="3"/>
      <c r="W531" s="10" t="str">
        <f>IF( J531="s.i", "s.i", IF(ISBLANK(J531),"Actualizando información",IFERROR(J531 / VLOOKUP(A531,Deflactor!$G$3:$H$64,2,0),"Revisar error" )))</f>
        <v>Actualizando información</v>
      </c>
    </row>
    <row r="532" spans="1:23" x14ac:dyDescent="0.25">
      <c r="A532" s="3">
        <v>2000</v>
      </c>
      <c r="B532" s="3" t="s">
        <v>634</v>
      </c>
      <c r="C532" s="3" t="s">
        <v>7</v>
      </c>
      <c r="D532" s="3" t="s">
        <v>54</v>
      </c>
      <c r="E532" s="3" t="s">
        <v>236</v>
      </c>
      <c r="F532" s="3" t="s">
        <v>329</v>
      </c>
      <c r="G532" s="3"/>
      <c r="H532" s="12"/>
      <c r="I532" s="13"/>
      <c r="J532" s="10"/>
      <c r="K532" s="3"/>
      <c r="L532" s="3"/>
      <c r="M532" s="3"/>
      <c r="N532" s="3"/>
      <c r="O532" s="3"/>
      <c r="P532" s="3"/>
      <c r="Q532" s="3"/>
      <c r="R532" s="3"/>
      <c r="S532" s="3"/>
      <c r="T532" s="3"/>
      <c r="U532" s="3"/>
      <c r="V532" s="3"/>
      <c r="W532" s="10" t="str">
        <f>IF( J532="s.i", "s.i", IF(ISBLANK(J532),"Actualizando información",IFERROR(J532 / VLOOKUP(A532,Deflactor!$G$3:$H$64,2,0),"Revisar error" )))</f>
        <v>Actualizando información</v>
      </c>
    </row>
    <row r="533" spans="1:23" x14ac:dyDescent="0.25">
      <c r="A533" s="3">
        <v>2000</v>
      </c>
      <c r="B533" s="3" t="s">
        <v>635</v>
      </c>
      <c r="C533" s="3" t="s">
        <v>7</v>
      </c>
      <c r="D533" s="3" t="s">
        <v>8</v>
      </c>
      <c r="E533" s="3" t="s">
        <v>51</v>
      </c>
      <c r="F533" s="3" t="s">
        <v>351</v>
      </c>
      <c r="G533" s="3"/>
      <c r="H533" s="12"/>
      <c r="I533" s="13"/>
      <c r="J533" s="10"/>
      <c r="K533" s="3"/>
      <c r="L533" s="3"/>
      <c r="M533" s="3"/>
      <c r="N533" s="3"/>
      <c r="O533" s="3"/>
      <c r="P533" s="3"/>
      <c r="Q533" s="3"/>
      <c r="R533" s="3"/>
      <c r="S533" s="3"/>
      <c r="T533" s="3"/>
      <c r="U533" s="3"/>
      <c r="V533" s="3"/>
      <c r="W533" s="10" t="str">
        <f>IF( J533="s.i", "s.i", IF(ISBLANK(J533),"Actualizando información",IFERROR(J533 / VLOOKUP(A533,Deflactor!$G$3:$H$64,2,0),"Revisar error" )))</f>
        <v>Actualizando información</v>
      </c>
    </row>
    <row r="534" spans="1:23" x14ac:dyDescent="0.25">
      <c r="A534" s="3">
        <v>2000</v>
      </c>
      <c r="B534" s="3" t="s">
        <v>636</v>
      </c>
      <c r="C534" s="3" t="s">
        <v>7</v>
      </c>
      <c r="D534" s="3" t="s">
        <v>71</v>
      </c>
      <c r="E534" s="3" t="s">
        <v>167</v>
      </c>
      <c r="F534" s="3" t="s">
        <v>310</v>
      </c>
      <c r="G534" s="3"/>
      <c r="H534" s="12"/>
      <c r="I534" s="13"/>
      <c r="J534" s="10"/>
      <c r="K534" s="3"/>
      <c r="L534" s="3"/>
      <c r="M534" s="3"/>
      <c r="N534" s="3"/>
      <c r="O534" s="3"/>
      <c r="P534" s="3"/>
      <c r="Q534" s="3"/>
      <c r="R534" s="3"/>
      <c r="S534" s="3"/>
      <c r="T534" s="3"/>
      <c r="U534" s="3"/>
      <c r="V534" s="3"/>
      <c r="W534" s="10" t="str">
        <f>IF( J534="s.i", "s.i", IF(ISBLANK(J534),"Actualizando información",IFERROR(J534 / VLOOKUP(A534,Deflactor!$G$3:$H$64,2,0),"Revisar error" )))</f>
        <v>Actualizando información</v>
      </c>
    </row>
    <row r="535" spans="1:23" x14ac:dyDescent="0.25">
      <c r="A535" s="3">
        <v>2000</v>
      </c>
      <c r="B535" s="3" t="s">
        <v>637</v>
      </c>
      <c r="C535" s="3" t="s">
        <v>7</v>
      </c>
      <c r="D535" s="3" t="s">
        <v>71</v>
      </c>
      <c r="E535" s="3" t="s">
        <v>167</v>
      </c>
      <c r="F535" s="3" t="s">
        <v>329</v>
      </c>
      <c r="G535" s="3"/>
      <c r="H535" s="12"/>
      <c r="I535" s="13"/>
      <c r="J535" s="10"/>
      <c r="K535" s="3"/>
      <c r="L535" s="3"/>
      <c r="M535" s="3"/>
      <c r="N535" s="3"/>
      <c r="O535" s="3"/>
      <c r="P535" s="3"/>
      <c r="Q535" s="3"/>
      <c r="R535" s="3"/>
      <c r="S535" s="3"/>
      <c r="T535" s="3"/>
      <c r="U535" s="3"/>
      <c r="V535" s="3"/>
      <c r="W535" s="10" t="str">
        <f>IF( J535="s.i", "s.i", IF(ISBLANK(J535),"Actualizando información",IFERROR(J535 / VLOOKUP(A535,Deflactor!$G$3:$H$64,2,0),"Revisar error" )))</f>
        <v>Actualizando información</v>
      </c>
    </row>
    <row r="536" spans="1:23" x14ac:dyDescent="0.25">
      <c r="A536" s="3">
        <v>2000</v>
      </c>
      <c r="B536" s="3" t="s">
        <v>638</v>
      </c>
      <c r="C536" s="3" t="s">
        <v>7</v>
      </c>
      <c r="D536" s="3" t="s">
        <v>444</v>
      </c>
      <c r="E536" s="3" t="s">
        <v>639</v>
      </c>
      <c r="F536" s="3" t="s">
        <v>623</v>
      </c>
      <c r="G536" s="3"/>
      <c r="H536" s="12"/>
      <c r="I536" s="13"/>
      <c r="J536" s="10"/>
      <c r="K536" s="3"/>
      <c r="L536" s="3"/>
      <c r="M536" s="3"/>
      <c r="N536" s="3"/>
      <c r="O536" s="3"/>
      <c r="P536" s="3"/>
      <c r="Q536" s="3"/>
      <c r="R536" s="3"/>
      <c r="S536" s="3"/>
      <c r="T536" s="3"/>
      <c r="U536" s="3"/>
      <c r="V536" s="3"/>
      <c r="W536" s="10" t="str">
        <f>IF( J536="s.i", "s.i", IF(ISBLANK(J536),"Actualizando información",IFERROR(J536 / VLOOKUP(A536,Deflactor!$G$3:$H$64,2,0),"Revisar error" )))</f>
        <v>Actualizando información</v>
      </c>
    </row>
    <row r="537" spans="1:23" x14ac:dyDescent="0.25">
      <c r="A537" s="3">
        <v>1999</v>
      </c>
      <c r="B537" s="3" t="s">
        <v>640</v>
      </c>
      <c r="C537" s="3" t="s">
        <v>7</v>
      </c>
      <c r="D537" s="3" t="s">
        <v>40</v>
      </c>
      <c r="E537" s="3" t="s">
        <v>43</v>
      </c>
      <c r="F537" s="3" t="s">
        <v>623</v>
      </c>
      <c r="G537" s="3"/>
      <c r="H537" s="12"/>
      <c r="I537" s="13"/>
      <c r="J537" s="10"/>
      <c r="K537" s="3"/>
      <c r="L537" s="3"/>
      <c r="M537" s="3"/>
      <c r="N537" s="3"/>
      <c r="O537" s="3"/>
      <c r="P537" s="3"/>
      <c r="Q537" s="3"/>
      <c r="R537" s="3"/>
      <c r="S537" s="3"/>
      <c r="T537" s="3"/>
      <c r="U537" s="3"/>
      <c r="V537" s="3"/>
      <c r="W537" s="10" t="str">
        <f>IF( J537="s.i", "s.i", IF(ISBLANK(J537),"Actualizando información",IFERROR(J537 / VLOOKUP(A537,Deflactor!$G$3:$H$64,2,0),"Revisar error" )))</f>
        <v>Actualizando información</v>
      </c>
    </row>
    <row r="538" spans="1:23" x14ac:dyDescent="0.25">
      <c r="A538" s="3">
        <v>1999</v>
      </c>
      <c r="B538" s="3" t="s">
        <v>641</v>
      </c>
      <c r="C538" s="3" t="s">
        <v>7</v>
      </c>
      <c r="D538" s="3" t="s">
        <v>290</v>
      </c>
      <c r="E538" s="3" t="s">
        <v>21</v>
      </c>
      <c r="F538" s="3" t="s">
        <v>623</v>
      </c>
      <c r="G538" s="3" t="s">
        <v>903</v>
      </c>
      <c r="H538" s="12">
        <v>1994</v>
      </c>
      <c r="I538" s="13">
        <v>2011</v>
      </c>
      <c r="J538" s="10">
        <f xml:space="preserve"> (898000 + 462000) * 1000</f>
        <v>1360000000</v>
      </c>
      <c r="K538" s="3" t="s">
        <v>861</v>
      </c>
      <c r="L538" s="3" t="s">
        <v>929</v>
      </c>
      <c r="M538" s="3" t="s">
        <v>930</v>
      </c>
      <c r="N538" s="3" t="s">
        <v>931</v>
      </c>
      <c r="O538" s="3" t="s">
        <v>932</v>
      </c>
      <c r="P538" s="3" t="s">
        <v>933</v>
      </c>
      <c r="Q538" s="3"/>
      <c r="R538" s="11" t="s">
        <v>934</v>
      </c>
      <c r="S538" s="11" t="s">
        <v>935</v>
      </c>
      <c r="T538" s="3"/>
      <c r="U538" s="3" t="s">
        <v>1142</v>
      </c>
      <c r="V538" s="3"/>
      <c r="W538" s="10">
        <f>IF( J538="s.i", "s.i", IF(ISBLANK(J538),"Actualizando información",IFERROR(J538 / VLOOKUP(A538,Deflactor!$G$3:$H$64,2,0),"Revisar error" )))</f>
        <v>2647413713.3990426</v>
      </c>
    </row>
    <row r="539" spans="1:23" x14ac:dyDescent="0.25">
      <c r="A539" s="3">
        <v>1999</v>
      </c>
      <c r="B539" s="3" t="s">
        <v>642</v>
      </c>
      <c r="C539" s="3" t="s">
        <v>7</v>
      </c>
      <c r="D539" s="3" t="s">
        <v>290</v>
      </c>
      <c r="E539" s="3" t="s">
        <v>120</v>
      </c>
      <c r="F539" s="3" t="s">
        <v>623</v>
      </c>
      <c r="G539" s="3"/>
      <c r="H539" s="12"/>
      <c r="I539" s="13"/>
      <c r="J539" s="10"/>
      <c r="K539" s="3" t="s">
        <v>1761</v>
      </c>
      <c r="L539" s="3"/>
      <c r="M539" s="3"/>
      <c r="N539" s="3"/>
      <c r="O539" s="3"/>
      <c r="P539" s="3"/>
      <c r="Q539" s="3"/>
      <c r="R539" s="3"/>
      <c r="S539" s="3"/>
      <c r="T539" s="3"/>
      <c r="U539" s="3"/>
      <c r="V539" s="3"/>
      <c r="W539" s="10" t="str">
        <f>IF( J539="s.i", "s.i", IF(ISBLANK(J539),"Actualizando información",IFERROR(J539 / VLOOKUP(A539,Deflactor!$G$3:$H$64,2,0),"Revisar error" )))</f>
        <v>Actualizando información</v>
      </c>
    </row>
    <row r="540" spans="1:23" x14ac:dyDescent="0.25">
      <c r="A540" s="3">
        <v>1999</v>
      </c>
      <c r="B540" s="3" t="s">
        <v>490</v>
      </c>
      <c r="C540" s="3" t="s">
        <v>7</v>
      </c>
      <c r="D540" s="3" t="s">
        <v>290</v>
      </c>
      <c r="E540" s="3" t="s">
        <v>291</v>
      </c>
      <c r="F540" s="3" t="s">
        <v>623</v>
      </c>
      <c r="G540" s="3"/>
      <c r="H540" s="12"/>
      <c r="I540" s="13"/>
      <c r="J540" s="10"/>
      <c r="K540" s="3"/>
      <c r="L540" s="3"/>
      <c r="M540" s="3"/>
      <c r="N540" s="3"/>
      <c r="O540" s="3"/>
      <c r="P540" s="3"/>
      <c r="Q540" s="3"/>
      <c r="R540" s="3"/>
      <c r="S540" s="3"/>
      <c r="T540" s="3"/>
      <c r="U540" s="3" t="s">
        <v>99</v>
      </c>
      <c r="V540" s="3"/>
      <c r="W540" s="10" t="str">
        <f>IF( J540="s.i", "s.i", IF(ISBLANK(J540),"Actualizando información",IFERROR(J540 / VLOOKUP(A540,Deflactor!$G$3:$H$64,2,0),"Revisar error" )))</f>
        <v>Actualizando información</v>
      </c>
    </row>
    <row r="541" spans="1:23" x14ac:dyDescent="0.25">
      <c r="A541" s="3">
        <v>1999</v>
      </c>
      <c r="B541" s="3" t="s">
        <v>643</v>
      </c>
      <c r="C541" s="3" t="s">
        <v>7</v>
      </c>
      <c r="D541" s="3" t="s">
        <v>54</v>
      </c>
      <c r="E541" s="3" t="s">
        <v>236</v>
      </c>
      <c r="F541" s="3" t="s">
        <v>623</v>
      </c>
      <c r="G541" s="3"/>
      <c r="H541" s="12"/>
      <c r="I541" s="13"/>
      <c r="J541" s="10"/>
      <c r="K541" s="3"/>
      <c r="L541" s="3"/>
      <c r="M541" s="3"/>
      <c r="N541" s="3"/>
      <c r="O541" s="3"/>
      <c r="P541" s="3"/>
      <c r="Q541" s="3"/>
      <c r="R541" s="3"/>
      <c r="S541" s="3"/>
      <c r="T541" s="3"/>
      <c r="U541" s="3"/>
      <c r="V541" s="3"/>
      <c r="W541" s="10" t="str">
        <f>IF( J541="s.i", "s.i", IF(ISBLANK(J541),"Actualizando información",IFERROR(J541 / VLOOKUP(A541,Deflactor!$G$3:$H$64,2,0),"Revisar error" )))</f>
        <v>Actualizando información</v>
      </c>
    </row>
    <row r="542" spans="1:23" x14ac:dyDescent="0.25">
      <c r="A542" s="3">
        <v>1999</v>
      </c>
      <c r="B542" s="3" t="s">
        <v>644</v>
      </c>
      <c r="C542" s="3" t="s">
        <v>7</v>
      </c>
      <c r="D542" s="3" t="s">
        <v>54</v>
      </c>
      <c r="E542" s="3" t="s">
        <v>645</v>
      </c>
      <c r="F542" s="3" t="s">
        <v>623</v>
      </c>
      <c r="G542" s="3"/>
      <c r="H542" s="12"/>
      <c r="I542" s="13"/>
      <c r="J542" s="10"/>
      <c r="K542" s="3"/>
      <c r="L542" s="3"/>
      <c r="M542" s="3"/>
      <c r="N542" s="3"/>
      <c r="O542" s="3"/>
      <c r="P542" s="3"/>
      <c r="Q542" s="3"/>
      <c r="R542" s="3"/>
      <c r="S542" s="3"/>
      <c r="T542" s="3"/>
      <c r="U542" s="3"/>
      <c r="V542" s="3"/>
      <c r="W542" s="10" t="str">
        <f>IF( J542="s.i", "s.i", IF(ISBLANK(J542),"Actualizando información",IFERROR(J542 / VLOOKUP(A542,Deflactor!$G$3:$H$64,2,0),"Revisar error" )))</f>
        <v>Actualizando información</v>
      </c>
    </row>
    <row r="543" spans="1:23" x14ac:dyDescent="0.25">
      <c r="A543" s="3">
        <v>1999</v>
      </c>
      <c r="B543" s="3" t="s">
        <v>646</v>
      </c>
      <c r="C543" s="3" t="s">
        <v>7</v>
      </c>
      <c r="D543" s="3" t="s">
        <v>8</v>
      </c>
      <c r="E543" s="3" t="s">
        <v>214</v>
      </c>
      <c r="F543" s="3" t="s">
        <v>623</v>
      </c>
      <c r="G543" s="3"/>
      <c r="H543" s="12"/>
      <c r="I543" s="13"/>
      <c r="J543" s="10"/>
      <c r="K543" s="3"/>
      <c r="L543" s="3"/>
      <c r="M543" s="3"/>
      <c r="N543" s="3"/>
      <c r="O543" s="3"/>
      <c r="P543" s="3"/>
      <c r="Q543" s="3"/>
      <c r="R543" s="3"/>
      <c r="S543" s="3"/>
      <c r="T543" s="3"/>
      <c r="U543" s="3"/>
      <c r="V543" s="3"/>
      <c r="W543" s="10" t="str">
        <f>IF( J543="s.i", "s.i", IF(ISBLANK(J543),"Actualizando información",IFERROR(J543 / VLOOKUP(A543,Deflactor!$G$3:$H$64,2,0),"Revisar error" )))</f>
        <v>Actualizando información</v>
      </c>
    </row>
    <row r="544" spans="1:23" x14ac:dyDescent="0.25">
      <c r="A544" s="3">
        <v>1999</v>
      </c>
      <c r="B544" s="3" t="s">
        <v>647</v>
      </c>
      <c r="C544" s="3" t="s">
        <v>7</v>
      </c>
      <c r="D544" s="3" t="s">
        <v>8</v>
      </c>
      <c r="E544" s="3" t="s">
        <v>51</v>
      </c>
      <c r="F544" s="3" t="s">
        <v>623</v>
      </c>
      <c r="G544" s="3"/>
      <c r="H544" s="12"/>
      <c r="I544" s="13"/>
      <c r="J544" s="10"/>
      <c r="K544" s="3"/>
      <c r="L544" s="3"/>
      <c r="M544" s="3"/>
      <c r="N544" s="3"/>
      <c r="O544" s="3"/>
      <c r="P544" s="3"/>
      <c r="Q544" s="3"/>
      <c r="R544" s="3"/>
      <c r="S544" s="3"/>
      <c r="T544" s="3"/>
      <c r="U544" s="3"/>
      <c r="V544" s="3" t="s">
        <v>1218</v>
      </c>
      <c r="W544" s="10" t="str">
        <f>IF( J544="s.i", "s.i", IF(ISBLANK(J544),"Actualizando información",IFERROR(J544 / VLOOKUP(A544,Deflactor!$G$3:$H$64,2,0),"Revisar error" )))</f>
        <v>Actualizando información</v>
      </c>
    </row>
    <row r="545" spans="1:23" x14ac:dyDescent="0.25">
      <c r="A545" s="3">
        <v>1999</v>
      </c>
      <c r="B545" s="3" t="s">
        <v>648</v>
      </c>
      <c r="C545" s="3" t="s">
        <v>7</v>
      </c>
      <c r="D545" s="3" t="s">
        <v>444</v>
      </c>
      <c r="E545" s="3" t="s">
        <v>639</v>
      </c>
      <c r="F545" s="3" t="s">
        <v>623</v>
      </c>
      <c r="G545" s="3"/>
      <c r="H545" s="12"/>
      <c r="I545" s="13"/>
      <c r="J545" s="10"/>
      <c r="K545" s="3"/>
      <c r="L545" s="3"/>
      <c r="M545" s="3"/>
      <c r="N545" s="3"/>
      <c r="O545" s="3"/>
      <c r="P545" s="3"/>
      <c r="Q545" s="3"/>
      <c r="R545" s="3"/>
      <c r="S545" s="3"/>
      <c r="T545" s="3"/>
      <c r="U545" s="3"/>
      <c r="V545" s="3"/>
      <c r="W545" s="10" t="str">
        <f>IF( J545="s.i", "s.i", IF(ISBLANK(J545),"Actualizando información",IFERROR(J545 / VLOOKUP(A545,Deflactor!$G$3:$H$64,2,0),"Revisar error" )))</f>
        <v>Actualizando información</v>
      </c>
    </row>
    <row r="546" spans="1:23" x14ac:dyDescent="0.25">
      <c r="A546" s="3">
        <v>1999</v>
      </c>
      <c r="B546" s="3" t="s">
        <v>649</v>
      </c>
      <c r="C546" s="3" t="s">
        <v>7</v>
      </c>
      <c r="D546" s="3" t="s">
        <v>40</v>
      </c>
      <c r="E546" s="3" t="s">
        <v>43</v>
      </c>
      <c r="F546" s="3" t="s">
        <v>623</v>
      </c>
      <c r="G546" s="3"/>
      <c r="H546" s="12"/>
      <c r="I546" s="13"/>
      <c r="J546" s="10"/>
      <c r="K546" s="3"/>
      <c r="L546" s="3"/>
      <c r="M546" s="3"/>
      <c r="N546" s="3"/>
      <c r="O546" s="3"/>
      <c r="P546" s="3"/>
      <c r="Q546" s="3"/>
      <c r="R546" s="3"/>
      <c r="S546" s="3"/>
      <c r="T546" s="3"/>
      <c r="U546" s="3"/>
      <c r="V546" s="3"/>
      <c r="W546" s="10" t="str">
        <f>IF( J546="s.i", "s.i", IF(ISBLANK(J546),"Actualizando información",IFERROR(J546 / VLOOKUP(A546,Deflactor!$G$3:$H$64,2,0),"Revisar error" )))</f>
        <v>Actualizando información</v>
      </c>
    </row>
    <row r="547" spans="1:23" x14ac:dyDescent="0.25">
      <c r="A547" s="3">
        <v>1999</v>
      </c>
      <c r="B547" s="3" t="s">
        <v>650</v>
      </c>
      <c r="C547" s="3" t="s">
        <v>7</v>
      </c>
      <c r="D547" s="3" t="s">
        <v>36</v>
      </c>
      <c r="E547" s="3" t="s">
        <v>37</v>
      </c>
      <c r="F547" s="3" t="s">
        <v>623</v>
      </c>
      <c r="G547" s="3"/>
      <c r="H547" s="12"/>
      <c r="I547" s="13"/>
      <c r="J547" s="10"/>
      <c r="K547" s="3"/>
      <c r="L547" s="3"/>
      <c r="M547" s="3"/>
      <c r="N547" s="3"/>
      <c r="O547" s="3"/>
      <c r="P547" s="3"/>
      <c r="Q547" s="3"/>
      <c r="R547" s="3"/>
      <c r="S547" s="3"/>
      <c r="T547" s="3"/>
      <c r="U547" s="3"/>
      <c r="V547" s="3"/>
      <c r="W547" s="10" t="str">
        <f>IF( J547="s.i", "s.i", IF(ISBLANK(J547),"Actualizando información",IFERROR(J547 / VLOOKUP(A547,Deflactor!$G$3:$H$64,2,0),"Revisar error" )))</f>
        <v>Actualizando información</v>
      </c>
    </row>
    <row r="548" spans="1:23" x14ac:dyDescent="0.25">
      <c r="A548" s="3">
        <v>1999</v>
      </c>
      <c r="B548" s="3" t="s">
        <v>651</v>
      </c>
      <c r="C548" s="3" t="s">
        <v>7</v>
      </c>
      <c r="D548" s="3" t="s">
        <v>36</v>
      </c>
      <c r="E548" s="3" t="s">
        <v>37</v>
      </c>
      <c r="F548" s="3" t="s">
        <v>623</v>
      </c>
      <c r="G548" s="3"/>
      <c r="H548" s="12"/>
      <c r="I548" s="13"/>
      <c r="J548" s="10"/>
      <c r="K548" s="3"/>
      <c r="L548" s="3"/>
      <c r="M548" s="3"/>
      <c r="N548" s="3"/>
      <c r="O548" s="3"/>
      <c r="P548" s="3"/>
      <c r="Q548" s="3"/>
      <c r="R548" s="3"/>
      <c r="S548" s="3"/>
      <c r="T548" s="3"/>
      <c r="U548" s="3"/>
      <c r="V548" s="3"/>
      <c r="W548" s="10" t="str">
        <f>IF( J548="s.i", "s.i", IF(ISBLANK(J548),"Actualizando información",IFERROR(J548 / VLOOKUP(A548,Deflactor!$G$3:$H$64,2,0),"Revisar error" )))</f>
        <v>Actualizando información</v>
      </c>
    </row>
    <row r="549" spans="1:23" x14ac:dyDescent="0.25">
      <c r="A549" s="3">
        <v>1999</v>
      </c>
      <c r="B549" s="3" t="s">
        <v>652</v>
      </c>
      <c r="C549" s="3" t="s">
        <v>7</v>
      </c>
      <c r="D549" s="3" t="s">
        <v>25</v>
      </c>
      <c r="E549" s="3" t="s">
        <v>151</v>
      </c>
      <c r="F549" s="3" t="s">
        <v>623</v>
      </c>
      <c r="G549" s="3"/>
      <c r="H549" s="12"/>
      <c r="I549" s="13"/>
      <c r="J549" s="10"/>
      <c r="K549" s="3"/>
      <c r="L549" s="3"/>
      <c r="M549" s="3"/>
      <c r="N549" s="3"/>
      <c r="O549" s="3"/>
      <c r="P549" s="3"/>
      <c r="Q549" s="3"/>
      <c r="R549" s="3"/>
      <c r="S549" s="3"/>
      <c r="T549" s="3"/>
      <c r="U549" s="3"/>
      <c r="V549" s="3"/>
      <c r="W549" s="10" t="str">
        <f>IF( J549="s.i", "s.i", IF(ISBLANK(J549),"Actualizando información",IFERROR(J549 / VLOOKUP(A549,Deflactor!$G$3:$H$64,2,0),"Revisar error" )))</f>
        <v>Actualizando información</v>
      </c>
    </row>
    <row r="550" spans="1:23" x14ac:dyDescent="0.25">
      <c r="A550" s="3">
        <v>1999</v>
      </c>
      <c r="B550" s="3" t="s">
        <v>564</v>
      </c>
      <c r="C550" s="3" t="s">
        <v>7</v>
      </c>
      <c r="D550" s="3" t="s">
        <v>25</v>
      </c>
      <c r="E550" s="3" t="s">
        <v>26</v>
      </c>
      <c r="F550" s="3" t="s">
        <v>623</v>
      </c>
      <c r="G550" s="3"/>
      <c r="H550" s="12"/>
      <c r="I550" s="13"/>
      <c r="J550" s="10"/>
      <c r="K550" s="3"/>
      <c r="L550" s="3"/>
      <c r="M550" s="3"/>
      <c r="N550" s="3"/>
      <c r="O550" s="3"/>
      <c r="P550" s="3"/>
      <c r="Q550" s="3"/>
      <c r="R550" s="3"/>
      <c r="S550" s="3"/>
      <c r="T550" s="3"/>
      <c r="U550" s="3" t="s">
        <v>564</v>
      </c>
      <c r="V550" s="3"/>
      <c r="W550" s="10" t="str">
        <f>IF( J550="s.i", "s.i", IF(ISBLANK(J550),"Actualizando información",IFERROR(J550 / VLOOKUP(A550,Deflactor!$G$3:$H$64,2,0),"Revisar error" )))</f>
        <v>Actualizando información</v>
      </c>
    </row>
    <row r="551" spans="1:23" x14ac:dyDescent="0.25">
      <c r="A551" s="3">
        <v>1999</v>
      </c>
      <c r="B551" s="3" t="s">
        <v>653</v>
      </c>
      <c r="C551" s="3" t="s">
        <v>7</v>
      </c>
      <c r="D551" s="3" t="s">
        <v>12</v>
      </c>
      <c r="E551" s="3" t="s">
        <v>13</v>
      </c>
      <c r="F551" s="3" t="s">
        <v>623</v>
      </c>
      <c r="G551" s="3"/>
      <c r="H551" s="12"/>
      <c r="I551" s="13"/>
      <c r="J551" s="10"/>
      <c r="K551" s="3"/>
      <c r="L551" s="3"/>
      <c r="M551" s="3"/>
      <c r="N551" s="3"/>
      <c r="O551" s="3"/>
      <c r="P551" s="3"/>
      <c r="Q551" s="3"/>
      <c r="R551" s="3"/>
      <c r="S551" s="3"/>
      <c r="T551" s="3"/>
      <c r="U551" s="3"/>
      <c r="V551" s="3"/>
      <c r="W551" s="10" t="str">
        <f>IF( J551="s.i", "s.i", IF(ISBLANK(J551),"Actualizando información",IFERROR(J551 / VLOOKUP(A551,Deflactor!$G$3:$H$64,2,0),"Revisar error" )))</f>
        <v>Actualizando información</v>
      </c>
    </row>
    <row r="552" spans="1:23" x14ac:dyDescent="0.25">
      <c r="A552" s="3">
        <v>1999</v>
      </c>
      <c r="B552" s="3" t="s">
        <v>654</v>
      </c>
      <c r="C552" s="3" t="s">
        <v>7</v>
      </c>
      <c r="D552" s="3" t="s">
        <v>290</v>
      </c>
      <c r="E552" s="3" t="s">
        <v>120</v>
      </c>
      <c r="F552" s="3" t="s">
        <v>623</v>
      </c>
      <c r="G552" s="3"/>
      <c r="H552" s="12"/>
      <c r="I552" s="13"/>
      <c r="J552" s="10"/>
      <c r="K552" s="3"/>
      <c r="L552" s="3"/>
      <c r="M552" s="3"/>
      <c r="N552" s="3"/>
      <c r="O552" s="3"/>
      <c r="P552" s="3"/>
      <c r="Q552" s="3"/>
      <c r="R552" s="3"/>
      <c r="S552" s="3"/>
      <c r="T552" s="3"/>
      <c r="U552" s="3"/>
      <c r="V552" s="3"/>
      <c r="W552" s="10" t="str">
        <f>IF( J552="s.i", "s.i", IF(ISBLANK(J552),"Actualizando información",IFERROR(J552 / VLOOKUP(A552,Deflactor!$G$3:$H$64,2,0),"Revisar error" )))</f>
        <v>Actualizando información</v>
      </c>
    </row>
    <row r="553" spans="1:23" x14ac:dyDescent="0.25">
      <c r="A553" s="3">
        <v>1999</v>
      </c>
      <c r="B553" s="3" t="s">
        <v>655</v>
      </c>
      <c r="C553" s="3" t="s">
        <v>7</v>
      </c>
      <c r="D553" s="3" t="s">
        <v>32</v>
      </c>
      <c r="E553" s="3" t="s">
        <v>33</v>
      </c>
      <c r="F553" s="3" t="s">
        <v>623</v>
      </c>
      <c r="G553" s="3"/>
      <c r="H553" s="12"/>
      <c r="I553" s="13"/>
      <c r="J553" s="10"/>
      <c r="K553" s="3"/>
      <c r="L553" s="3"/>
      <c r="M553" s="3"/>
      <c r="N553" s="3"/>
      <c r="O553" s="3"/>
      <c r="P553" s="3"/>
      <c r="Q553" s="3"/>
      <c r="R553" s="3"/>
      <c r="S553" s="3"/>
      <c r="T553" s="3"/>
      <c r="U553" s="3"/>
      <c r="V553" s="3"/>
      <c r="W553" s="10" t="str">
        <f>IF( J553="s.i", "s.i", IF(ISBLANK(J553),"Actualizando información",IFERROR(J553 / VLOOKUP(A553,Deflactor!$G$3:$H$64,2,0),"Revisar error" )))</f>
        <v>Actualizando información</v>
      </c>
    </row>
    <row r="554" spans="1:23" x14ac:dyDescent="0.25">
      <c r="A554" s="3">
        <v>1999</v>
      </c>
      <c r="B554" s="3" t="s">
        <v>656</v>
      </c>
      <c r="C554" s="3" t="s">
        <v>7</v>
      </c>
      <c r="D554" s="3" t="s">
        <v>54</v>
      </c>
      <c r="E554" s="3" t="s">
        <v>236</v>
      </c>
      <c r="F554" s="3" t="s">
        <v>623</v>
      </c>
      <c r="G554" s="3"/>
      <c r="H554" s="12"/>
      <c r="I554" s="13"/>
      <c r="J554" s="10"/>
      <c r="K554" s="3"/>
      <c r="L554" s="3"/>
      <c r="M554" s="3"/>
      <c r="N554" s="3"/>
      <c r="O554" s="3"/>
      <c r="P554" s="3"/>
      <c r="Q554" s="3"/>
      <c r="R554" s="3"/>
      <c r="S554" s="3"/>
      <c r="T554" s="3"/>
      <c r="U554" s="3"/>
      <c r="V554" s="3"/>
      <c r="W554" s="10" t="str">
        <f>IF( J554="s.i", "s.i", IF(ISBLANK(J554),"Actualizando información",IFERROR(J554 / VLOOKUP(A554,Deflactor!$G$3:$H$64,2,0),"Revisar error" )))</f>
        <v>Actualizando información</v>
      </c>
    </row>
    <row r="555" spans="1:23" x14ac:dyDescent="0.25">
      <c r="A555" s="3">
        <v>1999</v>
      </c>
      <c r="B555" s="3" t="s">
        <v>657</v>
      </c>
      <c r="C555" s="3" t="s">
        <v>7</v>
      </c>
      <c r="D555" s="3" t="s">
        <v>54</v>
      </c>
      <c r="E555" s="3" t="s">
        <v>236</v>
      </c>
      <c r="F555" s="3" t="s">
        <v>623</v>
      </c>
      <c r="G555" s="3"/>
      <c r="H555" s="12"/>
      <c r="I555" s="13"/>
      <c r="J555" s="10"/>
      <c r="K555" s="3" t="s">
        <v>1761</v>
      </c>
      <c r="L555" s="3"/>
      <c r="M555" s="3"/>
      <c r="N555" s="3"/>
      <c r="O555" s="3"/>
      <c r="P555" s="3"/>
      <c r="Q555" s="3"/>
      <c r="R555" s="3"/>
      <c r="S555" s="3"/>
      <c r="T555" s="3"/>
      <c r="U555" s="3"/>
      <c r="V555" s="3"/>
      <c r="W555" s="10" t="str">
        <f>IF( J555="s.i", "s.i", IF(ISBLANK(J555),"Actualizando información",IFERROR(J555 / VLOOKUP(A555,Deflactor!$G$3:$H$64,2,0),"Revisar error" )))</f>
        <v>Actualizando información</v>
      </c>
    </row>
    <row r="556" spans="1:23" x14ac:dyDescent="0.25">
      <c r="A556" s="3">
        <v>1999</v>
      </c>
      <c r="B556" s="3" t="s">
        <v>658</v>
      </c>
      <c r="C556" s="3" t="s">
        <v>7</v>
      </c>
      <c r="D556" s="3" t="s">
        <v>12</v>
      </c>
      <c r="E556" s="3" t="s">
        <v>13</v>
      </c>
      <c r="F556" s="3" t="s">
        <v>623</v>
      </c>
      <c r="G556" s="3"/>
      <c r="H556" s="12"/>
      <c r="I556" s="13"/>
      <c r="J556" s="10"/>
      <c r="K556" s="3"/>
      <c r="L556" s="3"/>
      <c r="M556" s="3"/>
      <c r="N556" s="3"/>
      <c r="O556" s="3"/>
      <c r="P556" s="3"/>
      <c r="Q556" s="3"/>
      <c r="R556" s="3"/>
      <c r="S556" s="3"/>
      <c r="T556" s="3"/>
      <c r="U556" s="3" t="s">
        <v>1324</v>
      </c>
      <c r="V556" s="3"/>
      <c r="W556" s="10" t="str">
        <f>IF( J556="s.i", "s.i", IF(ISBLANK(J556),"Actualizando información",IFERROR(J556 / VLOOKUP(A556,Deflactor!$G$3:$H$64,2,0),"Revisar error" )))</f>
        <v>Actualizando información</v>
      </c>
    </row>
    <row r="557" spans="1:23" x14ac:dyDescent="0.25">
      <c r="A557" s="3">
        <v>1999</v>
      </c>
      <c r="B557" s="3" t="s">
        <v>659</v>
      </c>
      <c r="C557" s="3" t="s">
        <v>7</v>
      </c>
      <c r="D557" s="3" t="s">
        <v>12</v>
      </c>
      <c r="E557" s="3" t="s">
        <v>403</v>
      </c>
      <c r="F557" s="3" t="s">
        <v>623</v>
      </c>
      <c r="G557" s="3"/>
      <c r="H557" s="12"/>
      <c r="I557" s="13"/>
      <c r="J557" s="10"/>
      <c r="K557" s="3"/>
      <c r="L557" s="3"/>
      <c r="M557" s="3"/>
      <c r="N557" s="3"/>
      <c r="O557" s="3"/>
      <c r="P557" s="3"/>
      <c r="Q557" s="3"/>
      <c r="R557" s="3"/>
      <c r="S557" s="3"/>
      <c r="T557" s="3"/>
      <c r="U557" s="3"/>
      <c r="V557" s="3"/>
      <c r="W557" s="10" t="str">
        <f>IF( J557="s.i", "s.i", IF(ISBLANK(J557),"Actualizando información",IFERROR(J557 / VLOOKUP(A557,Deflactor!$G$3:$H$64,2,0),"Revisar error" )))</f>
        <v>Actualizando información</v>
      </c>
    </row>
    <row r="558" spans="1:23" x14ac:dyDescent="0.25">
      <c r="A558" s="3">
        <v>1998</v>
      </c>
      <c r="B558" s="3" t="s">
        <v>660</v>
      </c>
      <c r="C558" s="3" t="s">
        <v>7</v>
      </c>
      <c r="D558" s="3" t="s">
        <v>12</v>
      </c>
      <c r="E558" s="3" t="s">
        <v>13</v>
      </c>
      <c r="F558" s="3" t="s">
        <v>623</v>
      </c>
      <c r="G558" s="3"/>
      <c r="H558" s="12"/>
      <c r="I558" s="13"/>
      <c r="J558" s="10"/>
      <c r="K558" s="3"/>
      <c r="L558" s="3"/>
      <c r="M558" s="3"/>
      <c r="N558" s="3"/>
      <c r="O558" s="3"/>
      <c r="P558" s="3"/>
      <c r="Q558" s="3"/>
      <c r="R558" s="3"/>
      <c r="S558" s="3"/>
      <c r="T558" s="3"/>
      <c r="U558" s="3"/>
      <c r="V558" s="3"/>
      <c r="W558" s="10" t="str">
        <f>IF( J558="s.i", "s.i", IF(ISBLANK(J558),"Actualizando información",IFERROR(J558 / VLOOKUP(A558,Deflactor!$G$3:$H$64,2,0),"Revisar error" )))</f>
        <v>Actualizando información</v>
      </c>
    </row>
    <row r="559" spans="1:23" x14ac:dyDescent="0.25">
      <c r="A559" s="3">
        <v>1998</v>
      </c>
      <c r="B559" s="3" t="s">
        <v>661</v>
      </c>
      <c r="C559" s="3" t="s">
        <v>7</v>
      </c>
      <c r="D559" s="3" t="s">
        <v>32</v>
      </c>
      <c r="E559" s="3" t="s">
        <v>33</v>
      </c>
      <c r="F559" s="3" t="s">
        <v>623</v>
      </c>
      <c r="G559" s="3"/>
      <c r="H559" s="12"/>
      <c r="I559" s="13"/>
      <c r="J559" s="10"/>
      <c r="K559" s="3"/>
      <c r="L559" s="3"/>
      <c r="M559" s="3"/>
      <c r="N559" s="3"/>
      <c r="O559" s="3"/>
      <c r="P559" s="3"/>
      <c r="Q559" s="3"/>
      <c r="R559" s="3"/>
      <c r="S559" s="3"/>
      <c r="T559" s="3"/>
      <c r="U559" s="3"/>
      <c r="V559" s="3"/>
      <c r="W559" s="10" t="str">
        <f>IF( J559="s.i", "s.i", IF(ISBLANK(J559),"Actualizando información",IFERROR(J559 / VLOOKUP(A559,Deflactor!$G$3:$H$64,2,0),"Revisar error" )))</f>
        <v>Actualizando información</v>
      </c>
    </row>
    <row r="560" spans="1:23" x14ac:dyDescent="0.25">
      <c r="A560" s="3">
        <v>1998</v>
      </c>
      <c r="B560" s="3" t="s">
        <v>662</v>
      </c>
      <c r="C560" s="3" t="s">
        <v>7</v>
      </c>
      <c r="D560" s="3" t="s">
        <v>233</v>
      </c>
      <c r="E560" s="3" t="s">
        <v>344</v>
      </c>
      <c r="F560" s="3" t="s">
        <v>623</v>
      </c>
      <c r="G560" s="3"/>
      <c r="H560" s="12"/>
      <c r="I560" s="13"/>
      <c r="J560" s="10"/>
      <c r="K560" s="3"/>
      <c r="L560" s="3"/>
      <c r="M560" s="3"/>
      <c r="N560" s="3"/>
      <c r="O560" s="3"/>
      <c r="P560" s="3"/>
      <c r="Q560" s="3"/>
      <c r="R560" s="3"/>
      <c r="S560" s="3"/>
      <c r="T560" s="3"/>
      <c r="U560" s="3"/>
      <c r="V560" s="3"/>
      <c r="W560" s="10" t="str">
        <f>IF( J560="s.i", "s.i", IF(ISBLANK(J560),"Actualizando información",IFERROR(J560 / VLOOKUP(A560,Deflactor!$G$3:$H$64,2,0),"Revisar error" )))</f>
        <v>Actualizando información</v>
      </c>
    </row>
    <row r="561" spans="1:23" x14ac:dyDescent="0.25">
      <c r="A561" s="3">
        <v>1998</v>
      </c>
      <c r="B561" s="3" t="s">
        <v>663</v>
      </c>
      <c r="C561" s="3" t="s">
        <v>7</v>
      </c>
      <c r="D561" s="3" t="s">
        <v>290</v>
      </c>
      <c r="E561" s="3" t="s">
        <v>291</v>
      </c>
      <c r="F561" s="3" t="s">
        <v>623</v>
      </c>
      <c r="G561" s="3"/>
      <c r="H561" s="12"/>
      <c r="I561" s="13"/>
      <c r="J561" s="10"/>
      <c r="K561" s="3"/>
      <c r="L561" s="3"/>
      <c r="M561" s="3"/>
      <c r="N561" s="3"/>
      <c r="O561" s="3"/>
      <c r="P561" s="3"/>
      <c r="Q561" s="3"/>
      <c r="R561" s="3"/>
      <c r="S561" s="3"/>
      <c r="T561" s="3"/>
      <c r="U561" s="3" t="s">
        <v>99</v>
      </c>
      <c r="V561" s="3"/>
      <c r="W561" s="10" t="str">
        <f>IF( J561="s.i", "s.i", IF(ISBLANK(J561),"Actualizando información",IFERROR(J561 / VLOOKUP(A561,Deflactor!$G$3:$H$64,2,0),"Revisar error" )))</f>
        <v>Actualizando información</v>
      </c>
    </row>
    <row r="562" spans="1:23" x14ac:dyDescent="0.25">
      <c r="A562" s="3">
        <v>1998</v>
      </c>
      <c r="B562" s="3" t="s">
        <v>586</v>
      </c>
      <c r="C562" s="3" t="s">
        <v>7</v>
      </c>
      <c r="D562" s="3" t="s">
        <v>290</v>
      </c>
      <c r="E562" s="3" t="s">
        <v>120</v>
      </c>
      <c r="F562" s="3" t="s">
        <v>623</v>
      </c>
      <c r="G562" s="3"/>
      <c r="H562" s="12"/>
      <c r="I562" s="13"/>
      <c r="J562" s="10"/>
      <c r="K562" s="3"/>
      <c r="L562" s="3"/>
      <c r="M562" s="3"/>
      <c r="N562" s="3"/>
      <c r="O562" s="3"/>
      <c r="P562" s="3"/>
      <c r="Q562" s="3"/>
      <c r="R562" s="3"/>
      <c r="S562" s="3"/>
      <c r="T562" s="3"/>
      <c r="U562" s="3"/>
      <c r="V562" s="3"/>
      <c r="W562" s="10" t="str">
        <f>IF( J562="s.i", "s.i", IF(ISBLANK(J562),"Actualizando información",IFERROR(J562 / VLOOKUP(A562,Deflactor!$G$3:$H$64,2,0),"Revisar error" )))</f>
        <v>Actualizando información</v>
      </c>
    </row>
    <row r="563" spans="1:23" x14ac:dyDescent="0.25">
      <c r="A563" s="3">
        <v>1998</v>
      </c>
      <c r="B563" s="3" t="s">
        <v>664</v>
      </c>
      <c r="C563" s="3" t="s">
        <v>7</v>
      </c>
      <c r="D563" s="3" t="s">
        <v>290</v>
      </c>
      <c r="E563" s="3" t="s">
        <v>120</v>
      </c>
      <c r="F563" s="3" t="s">
        <v>623</v>
      </c>
      <c r="G563" s="3"/>
      <c r="H563" s="12"/>
      <c r="I563" s="13"/>
      <c r="J563" s="10"/>
      <c r="K563" s="3"/>
      <c r="L563" s="3"/>
      <c r="M563" s="3"/>
      <c r="N563" s="3"/>
      <c r="O563" s="3"/>
      <c r="P563" s="3"/>
      <c r="Q563" s="3"/>
      <c r="R563" s="3"/>
      <c r="S563" s="3"/>
      <c r="T563" s="3"/>
      <c r="U563" s="3"/>
      <c r="V563" s="3"/>
      <c r="W563" s="10" t="str">
        <f>IF( J563="s.i", "s.i", IF(ISBLANK(J563),"Actualizando información",IFERROR(J563 / VLOOKUP(A563,Deflactor!$G$3:$H$64,2,0),"Revisar error" )))</f>
        <v>Actualizando información</v>
      </c>
    </row>
    <row r="564" spans="1:23" x14ac:dyDescent="0.25">
      <c r="A564" s="3">
        <v>1998</v>
      </c>
      <c r="B564" s="3" t="s">
        <v>393</v>
      </c>
      <c r="C564" s="3" t="s">
        <v>7</v>
      </c>
      <c r="D564" s="3" t="s">
        <v>290</v>
      </c>
      <c r="E564" s="3" t="s">
        <v>21</v>
      </c>
      <c r="F564" s="3" t="s">
        <v>623</v>
      </c>
      <c r="G564" s="3"/>
      <c r="H564" s="12"/>
      <c r="I564" s="13"/>
      <c r="J564" s="10"/>
      <c r="K564" s="3"/>
      <c r="L564" s="3"/>
      <c r="M564" s="3"/>
      <c r="N564" s="3"/>
      <c r="O564" s="3"/>
      <c r="P564" s="3"/>
      <c r="Q564" s="3"/>
      <c r="R564" s="3"/>
      <c r="S564" s="3"/>
      <c r="T564" s="3"/>
      <c r="U564" s="3"/>
      <c r="V564" s="3"/>
      <c r="W564" s="10" t="str">
        <f>IF( J564="s.i", "s.i", IF(ISBLANK(J564),"Actualizando información",IFERROR(J564 / VLOOKUP(A564,Deflactor!$G$3:$H$64,2,0),"Revisar error" )))</f>
        <v>Actualizando información</v>
      </c>
    </row>
    <row r="565" spans="1:23" x14ac:dyDescent="0.25">
      <c r="A565" s="3">
        <v>1998</v>
      </c>
      <c r="B565" s="3" t="s">
        <v>665</v>
      </c>
      <c r="C565" s="3" t="s">
        <v>7</v>
      </c>
      <c r="D565" s="3" t="s">
        <v>290</v>
      </c>
      <c r="E565" s="3" t="s">
        <v>395</v>
      </c>
      <c r="F565" s="3" t="s">
        <v>623</v>
      </c>
      <c r="G565" s="3"/>
      <c r="H565" s="12"/>
      <c r="I565" s="13"/>
      <c r="J565" s="10"/>
      <c r="K565" s="3"/>
      <c r="L565" s="3"/>
      <c r="M565" s="3"/>
      <c r="N565" s="3"/>
      <c r="O565" s="3"/>
      <c r="P565" s="3"/>
      <c r="Q565" s="3"/>
      <c r="R565" s="3"/>
      <c r="S565" s="3"/>
      <c r="T565" s="3"/>
      <c r="U565" s="3"/>
      <c r="V565" s="3"/>
      <c r="W565" s="10" t="str">
        <f>IF( J565="s.i", "s.i", IF(ISBLANK(J565),"Actualizando información",IFERROR(J565 / VLOOKUP(A565,Deflactor!$G$3:$H$64,2,0),"Revisar error" )))</f>
        <v>Actualizando información</v>
      </c>
    </row>
    <row r="566" spans="1:23" x14ac:dyDescent="0.25">
      <c r="A566" s="3">
        <v>1998</v>
      </c>
      <c r="B566" s="3" t="s">
        <v>208</v>
      </c>
      <c r="C566" s="3" t="s">
        <v>7</v>
      </c>
      <c r="D566" s="3" t="s">
        <v>40</v>
      </c>
      <c r="E566" s="3" t="s">
        <v>160</v>
      </c>
      <c r="F566" s="3" t="s">
        <v>623</v>
      </c>
      <c r="G566" s="3"/>
      <c r="H566" s="12"/>
      <c r="I566" s="13"/>
      <c r="J566" s="10"/>
      <c r="K566" s="3"/>
      <c r="L566" s="3"/>
      <c r="M566" s="3"/>
      <c r="N566" s="3"/>
      <c r="O566" s="3"/>
      <c r="P566" s="3"/>
      <c r="Q566" s="3"/>
      <c r="R566" s="3"/>
      <c r="S566" s="3"/>
      <c r="T566" s="3"/>
      <c r="U566" s="3"/>
      <c r="V566" s="3"/>
      <c r="W566" s="10" t="str">
        <f>IF( J566="s.i", "s.i", IF(ISBLANK(J566),"Actualizando información",IFERROR(J566 / VLOOKUP(A566,Deflactor!$G$3:$H$64,2,0),"Revisar error" )))</f>
        <v>Actualizando información</v>
      </c>
    </row>
    <row r="567" spans="1:23" x14ac:dyDescent="0.25">
      <c r="A567" s="3">
        <v>1998</v>
      </c>
      <c r="B567" s="3" t="s">
        <v>666</v>
      </c>
      <c r="C567" s="3" t="s">
        <v>7</v>
      </c>
      <c r="D567" s="3" t="s">
        <v>36</v>
      </c>
      <c r="E567" s="3" t="s">
        <v>68</v>
      </c>
      <c r="F567" s="3" t="s">
        <v>623</v>
      </c>
      <c r="G567" s="3"/>
      <c r="H567" s="12"/>
      <c r="I567" s="13"/>
      <c r="J567" s="10"/>
      <c r="K567" s="3"/>
      <c r="L567" s="3"/>
      <c r="M567" s="3"/>
      <c r="N567" s="3"/>
      <c r="O567" s="3"/>
      <c r="P567" s="3"/>
      <c r="Q567" s="3"/>
      <c r="R567" s="3"/>
      <c r="S567" s="3"/>
      <c r="T567" s="3"/>
      <c r="U567" s="3" t="s">
        <v>1147</v>
      </c>
      <c r="V567" s="3"/>
      <c r="W567" s="10" t="str">
        <f>IF( J567="s.i", "s.i", IF(ISBLANK(J567),"Actualizando información",IFERROR(J567 / VLOOKUP(A567,Deflactor!$G$3:$H$64,2,0),"Revisar error" )))</f>
        <v>Actualizando información</v>
      </c>
    </row>
    <row r="568" spans="1:23" x14ac:dyDescent="0.25">
      <c r="A568" s="3">
        <v>1998</v>
      </c>
      <c r="B568" s="3" t="s">
        <v>667</v>
      </c>
      <c r="C568" s="3" t="s">
        <v>7</v>
      </c>
      <c r="D568" s="3" t="s">
        <v>25</v>
      </c>
      <c r="E568" s="3" t="s">
        <v>26</v>
      </c>
      <c r="F568" s="3" t="s">
        <v>623</v>
      </c>
      <c r="G568" s="3"/>
      <c r="H568" s="12"/>
      <c r="I568" s="13"/>
      <c r="J568" s="10"/>
      <c r="K568" s="3" t="s">
        <v>2300</v>
      </c>
      <c r="L568" s="3"/>
      <c r="M568" s="3"/>
      <c r="N568" s="3"/>
      <c r="O568" s="3"/>
      <c r="P568" s="3"/>
      <c r="Q568" s="3"/>
      <c r="R568" s="3"/>
      <c r="S568" s="3"/>
      <c r="T568" s="3"/>
      <c r="U568" s="3"/>
      <c r="V568" s="3"/>
      <c r="W568" s="10" t="str">
        <f>IF( J568="s.i", "s.i", IF(ISBLANK(J568),"Actualizando información",IFERROR(J568 / VLOOKUP(A568,Deflactor!$G$3:$H$64,2,0),"Revisar error" )))</f>
        <v>Actualizando información</v>
      </c>
    </row>
    <row r="569" spans="1:23" x14ac:dyDescent="0.25">
      <c r="A569" s="3">
        <v>1998</v>
      </c>
      <c r="B569" s="3" t="s">
        <v>668</v>
      </c>
      <c r="C569" s="3" t="s">
        <v>7</v>
      </c>
      <c r="D569" s="3" t="s">
        <v>12</v>
      </c>
      <c r="E569" s="3" t="s">
        <v>403</v>
      </c>
      <c r="F569" s="3" t="s">
        <v>623</v>
      </c>
      <c r="G569" s="3"/>
      <c r="H569" s="12"/>
      <c r="I569" s="13"/>
      <c r="J569" s="10"/>
      <c r="K569" s="3"/>
      <c r="L569" s="3"/>
      <c r="M569" s="3"/>
      <c r="N569" s="3"/>
      <c r="O569" s="3"/>
      <c r="P569" s="3"/>
      <c r="Q569" s="3"/>
      <c r="R569" s="3"/>
      <c r="S569" s="3"/>
      <c r="T569" s="3"/>
      <c r="U569" s="3"/>
      <c r="V569" s="3"/>
      <c r="W569" s="10" t="str">
        <f>IF( J569="s.i", "s.i", IF(ISBLANK(J569),"Actualizando información",IFERROR(J569 / VLOOKUP(A569,Deflactor!$G$3:$H$64,2,0),"Revisar error" )))</f>
        <v>Actualizando información</v>
      </c>
    </row>
    <row r="570" spans="1:23" x14ac:dyDescent="0.25">
      <c r="A570" s="3">
        <v>1998</v>
      </c>
      <c r="B570" s="3" t="s">
        <v>669</v>
      </c>
      <c r="C570" s="3" t="s">
        <v>7</v>
      </c>
      <c r="D570" s="3" t="s">
        <v>12</v>
      </c>
      <c r="E570" s="3" t="s">
        <v>403</v>
      </c>
      <c r="F570" s="3" t="s">
        <v>623</v>
      </c>
      <c r="G570" s="3"/>
      <c r="H570" s="12"/>
      <c r="I570" s="13"/>
      <c r="J570" s="10"/>
      <c r="K570" s="3"/>
      <c r="L570" s="3"/>
      <c r="M570" s="3"/>
      <c r="N570" s="3"/>
      <c r="O570" s="3"/>
      <c r="P570" s="3"/>
      <c r="Q570" s="3"/>
      <c r="R570" s="3"/>
      <c r="S570" s="3"/>
      <c r="T570" s="3"/>
      <c r="U570" s="3"/>
      <c r="V570" s="3"/>
      <c r="W570" s="10" t="str">
        <f>IF( J570="s.i", "s.i", IF(ISBLANK(J570),"Actualizando información",IFERROR(J570 / VLOOKUP(A570,Deflactor!$G$3:$H$64,2,0),"Revisar error" )))</f>
        <v>Actualizando información</v>
      </c>
    </row>
    <row r="571" spans="1:23" x14ac:dyDescent="0.25">
      <c r="A571" s="3">
        <v>1998</v>
      </c>
      <c r="B571" s="3" t="s">
        <v>343</v>
      </c>
      <c r="C571" s="3" t="s">
        <v>7</v>
      </c>
      <c r="D571" s="3" t="s">
        <v>233</v>
      </c>
      <c r="E571" s="3" t="s">
        <v>344</v>
      </c>
      <c r="F571" s="3" t="s">
        <v>623</v>
      </c>
      <c r="G571" s="3"/>
      <c r="H571" s="12"/>
      <c r="I571" s="13"/>
      <c r="J571" s="10"/>
      <c r="K571" s="3"/>
      <c r="L571" s="3"/>
      <c r="M571" s="3"/>
      <c r="N571" s="3"/>
      <c r="O571" s="3"/>
      <c r="P571" s="3"/>
      <c r="Q571" s="3"/>
      <c r="R571" s="3"/>
      <c r="S571" s="3"/>
      <c r="T571" s="3"/>
      <c r="U571" s="3"/>
      <c r="V571" s="3"/>
      <c r="W571" s="10" t="str">
        <f>IF( J571="s.i", "s.i", IF(ISBLANK(J571),"Actualizando información",IFERROR(J571 / VLOOKUP(A571,Deflactor!$G$3:$H$64,2,0),"Revisar error" )))</f>
        <v>Actualizando información</v>
      </c>
    </row>
    <row r="572" spans="1:23" x14ac:dyDescent="0.25">
      <c r="A572" s="3">
        <v>1998</v>
      </c>
      <c r="B572" s="3" t="s">
        <v>670</v>
      </c>
      <c r="C572" s="3" t="s">
        <v>7</v>
      </c>
      <c r="D572" s="3" t="s">
        <v>233</v>
      </c>
      <c r="E572" s="3" t="s">
        <v>234</v>
      </c>
      <c r="F572" s="3" t="s">
        <v>623</v>
      </c>
      <c r="G572" s="3"/>
      <c r="H572" s="12"/>
      <c r="I572" s="13"/>
      <c r="J572" s="10"/>
      <c r="K572" s="3"/>
      <c r="L572" s="3"/>
      <c r="M572" s="3"/>
      <c r="N572" s="3"/>
      <c r="O572" s="3"/>
      <c r="P572" s="3"/>
      <c r="Q572" s="3"/>
      <c r="R572" s="3"/>
      <c r="S572" s="3"/>
      <c r="T572" s="3"/>
      <c r="U572" s="3"/>
      <c r="V572" s="3"/>
      <c r="W572" s="10" t="str">
        <f>IF( J572="s.i", "s.i", IF(ISBLANK(J572),"Actualizando información",IFERROR(J572 / VLOOKUP(A572,Deflactor!$G$3:$H$64,2,0),"Revisar error" )))</f>
        <v>Actualizando información</v>
      </c>
    </row>
    <row r="573" spans="1:23" x14ac:dyDescent="0.25">
      <c r="A573" s="3">
        <v>1998</v>
      </c>
      <c r="B573" s="3" t="s">
        <v>671</v>
      </c>
      <c r="C573" s="3" t="s">
        <v>7</v>
      </c>
      <c r="D573" s="3" t="s">
        <v>32</v>
      </c>
      <c r="E573" s="3" t="s">
        <v>33</v>
      </c>
      <c r="F573" s="3" t="s">
        <v>623</v>
      </c>
      <c r="G573" s="3"/>
      <c r="H573" s="12"/>
      <c r="I573" s="13"/>
      <c r="J573" s="10"/>
      <c r="K573" s="3"/>
      <c r="L573" s="3"/>
      <c r="M573" s="3"/>
      <c r="N573" s="3"/>
      <c r="O573" s="3"/>
      <c r="P573" s="3"/>
      <c r="Q573" s="3"/>
      <c r="R573" s="3"/>
      <c r="S573" s="3"/>
      <c r="T573" s="3"/>
      <c r="U573" s="3"/>
      <c r="V573" s="3"/>
      <c r="W573" s="10" t="str">
        <f>IF( J573="s.i", "s.i", IF(ISBLANK(J573),"Actualizando información",IFERROR(J573 / VLOOKUP(A573,Deflactor!$G$3:$H$64,2,0),"Revisar error" )))</f>
        <v>Actualizando información</v>
      </c>
    </row>
    <row r="574" spans="1:23" x14ac:dyDescent="0.25">
      <c r="A574" s="3">
        <v>1998</v>
      </c>
      <c r="B574" s="3" t="s">
        <v>672</v>
      </c>
      <c r="C574" s="3" t="s">
        <v>7</v>
      </c>
      <c r="D574" s="3" t="s">
        <v>54</v>
      </c>
      <c r="E574" s="3" t="s">
        <v>55</v>
      </c>
      <c r="F574" s="3" t="s">
        <v>623</v>
      </c>
      <c r="G574" s="3"/>
      <c r="H574" s="12"/>
      <c r="I574" s="13"/>
      <c r="J574" s="10"/>
      <c r="K574" s="3"/>
      <c r="L574" s="3"/>
      <c r="M574" s="3"/>
      <c r="N574" s="3"/>
      <c r="O574" s="3"/>
      <c r="P574" s="3"/>
      <c r="Q574" s="3"/>
      <c r="R574" s="3"/>
      <c r="S574" s="3"/>
      <c r="T574" s="3"/>
      <c r="U574" s="3"/>
      <c r="V574" s="3"/>
      <c r="W574" s="10" t="str">
        <f>IF( J574="s.i", "s.i", IF(ISBLANK(J574),"Actualizando información",IFERROR(J574 / VLOOKUP(A574,Deflactor!$G$3:$H$64,2,0),"Revisar error" )))</f>
        <v>Actualizando información</v>
      </c>
    </row>
    <row r="575" spans="1:23" x14ac:dyDescent="0.25">
      <c r="A575" s="3">
        <v>1998</v>
      </c>
      <c r="B575" s="3" t="s">
        <v>673</v>
      </c>
      <c r="C575" s="3" t="s">
        <v>7</v>
      </c>
      <c r="D575" s="3" t="s">
        <v>8</v>
      </c>
      <c r="E575" s="3" t="s">
        <v>51</v>
      </c>
      <c r="F575" s="3" t="s">
        <v>623</v>
      </c>
      <c r="G575" s="3"/>
      <c r="H575" s="12"/>
      <c r="I575" s="13"/>
      <c r="J575" s="10"/>
      <c r="K575" s="3"/>
      <c r="L575" s="3"/>
      <c r="M575" s="3"/>
      <c r="N575" s="3"/>
      <c r="O575" s="3"/>
      <c r="P575" s="3"/>
      <c r="Q575" s="3"/>
      <c r="R575" s="3"/>
      <c r="S575" s="3"/>
      <c r="T575" s="3"/>
      <c r="U575" s="3"/>
      <c r="V575" s="3"/>
      <c r="W575" s="10" t="str">
        <f>IF( J575="s.i", "s.i", IF(ISBLANK(J575),"Actualizando información",IFERROR(J575 / VLOOKUP(A575,Deflactor!$G$3:$H$64,2,0),"Revisar error" )))</f>
        <v>Actualizando información</v>
      </c>
    </row>
    <row r="576" spans="1:23" x14ac:dyDescent="0.25">
      <c r="A576" s="3">
        <v>1998</v>
      </c>
      <c r="B576" s="3" t="s">
        <v>674</v>
      </c>
      <c r="C576" s="3" t="s">
        <v>7</v>
      </c>
      <c r="D576" s="3" t="s">
        <v>71</v>
      </c>
      <c r="E576" s="3" t="s">
        <v>167</v>
      </c>
      <c r="F576" s="3" t="s">
        <v>623</v>
      </c>
      <c r="G576" s="3"/>
      <c r="H576" s="12"/>
      <c r="I576" s="13"/>
      <c r="J576" s="10"/>
      <c r="K576" s="3" t="s">
        <v>2166</v>
      </c>
      <c r="L576" s="3"/>
      <c r="M576" s="3"/>
      <c r="N576" s="3"/>
      <c r="O576" s="3"/>
      <c r="P576" s="3"/>
      <c r="Q576" s="3"/>
      <c r="R576" s="3"/>
      <c r="S576" s="3"/>
      <c r="T576" s="3"/>
      <c r="U576" s="3"/>
      <c r="V576" s="3"/>
      <c r="W576" s="10" t="str">
        <f>IF( J576="s.i", "s.i", IF(ISBLANK(J576),"Actualizando información",IFERROR(J576 / VLOOKUP(A576,Deflactor!$G$3:$H$64,2,0),"Revisar error" )))</f>
        <v>Actualizando información</v>
      </c>
    </row>
    <row r="577" spans="1:23" x14ac:dyDescent="0.25">
      <c r="A577" s="3">
        <v>1998</v>
      </c>
      <c r="B577" s="3" t="s">
        <v>675</v>
      </c>
      <c r="C577" s="3" t="s">
        <v>7</v>
      </c>
      <c r="D577" s="3" t="s">
        <v>444</v>
      </c>
      <c r="E577" s="3" t="s">
        <v>639</v>
      </c>
      <c r="F577" s="3" t="s">
        <v>623</v>
      </c>
      <c r="G577" s="3"/>
      <c r="H577" s="12"/>
      <c r="I577" s="13"/>
      <c r="J577" s="10"/>
      <c r="K577" s="3"/>
      <c r="L577" s="3"/>
      <c r="M577" s="3"/>
      <c r="N577" s="3"/>
      <c r="O577" s="3"/>
      <c r="P577" s="3"/>
      <c r="Q577" s="3"/>
      <c r="R577" s="3"/>
      <c r="S577" s="3"/>
      <c r="T577" s="3"/>
      <c r="U577" s="3"/>
      <c r="V577" s="3"/>
      <c r="W577" s="10" t="str">
        <f>IF( J577="s.i", "s.i", IF(ISBLANK(J577),"Actualizando información",IFERROR(J577 / VLOOKUP(A577,Deflactor!$G$3:$H$64,2,0),"Revisar error" )))</f>
        <v>Actualizando información</v>
      </c>
    </row>
    <row r="578" spans="1:23" x14ac:dyDescent="0.25">
      <c r="A578" s="3">
        <v>1998</v>
      </c>
      <c r="B578" s="3" t="s">
        <v>436</v>
      </c>
      <c r="C578" s="3" t="s">
        <v>7</v>
      </c>
      <c r="D578" s="3" t="s">
        <v>444</v>
      </c>
      <c r="E578" s="3" t="s">
        <v>544</v>
      </c>
      <c r="F578" s="3" t="s">
        <v>623</v>
      </c>
      <c r="G578" s="3"/>
      <c r="H578" s="12"/>
      <c r="I578" s="13"/>
      <c r="J578" s="10"/>
      <c r="K578" s="3"/>
      <c r="L578" s="3"/>
      <c r="M578" s="3"/>
      <c r="N578" s="3"/>
      <c r="O578" s="3"/>
      <c r="P578" s="3"/>
      <c r="Q578" s="3"/>
      <c r="R578" s="3"/>
      <c r="S578" s="3"/>
      <c r="T578" s="3"/>
      <c r="U578" s="3"/>
      <c r="V578" s="3"/>
      <c r="W578" s="10" t="str">
        <f>IF( J578="s.i", "s.i", IF(ISBLANK(J578),"Actualizando información",IFERROR(J578 / VLOOKUP(A578,Deflactor!$G$3:$H$64,2,0),"Revisar error" )))</f>
        <v>Actualizando información</v>
      </c>
    </row>
    <row r="579" spans="1:23" x14ac:dyDescent="0.25">
      <c r="A579" s="3">
        <v>1998</v>
      </c>
      <c r="B579" s="3" t="s">
        <v>676</v>
      </c>
      <c r="C579" s="3" t="s">
        <v>7</v>
      </c>
      <c r="D579" s="3" t="s">
        <v>25</v>
      </c>
      <c r="E579" s="3" t="s">
        <v>26</v>
      </c>
      <c r="F579" s="3" t="s">
        <v>623</v>
      </c>
      <c r="G579" s="3"/>
      <c r="H579" s="12"/>
      <c r="I579" s="13"/>
      <c r="J579" s="10"/>
      <c r="K579" s="3"/>
      <c r="L579" s="3"/>
      <c r="M579" s="3"/>
      <c r="N579" s="3"/>
      <c r="O579" s="3"/>
      <c r="P579" s="3"/>
      <c r="Q579" s="3"/>
      <c r="R579" s="3"/>
      <c r="S579" s="3"/>
      <c r="T579" s="3"/>
      <c r="U579" s="3"/>
      <c r="V579" s="3"/>
      <c r="W579" s="10" t="str">
        <f>IF( J579="s.i", "s.i", IF(ISBLANK(J579),"Actualizando información",IFERROR(J579 / VLOOKUP(A579,Deflactor!$G$3:$H$64,2,0),"Revisar error" )))</f>
        <v>Actualizando información</v>
      </c>
    </row>
    <row r="580" spans="1:23" x14ac:dyDescent="0.25">
      <c r="A580" s="3">
        <v>1998</v>
      </c>
      <c r="B580" s="3" t="s">
        <v>677</v>
      </c>
      <c r="C580" s="3" t="s">
        <v>7</v>
      </c>
      <c r="D580" s="3" t="s">
        <v>12</v>
      </c>
      <c r="E580" s="3" t="s">
        <v>403</v>
      </c>
      <c r="F580" s="3" t="s">
        <v>623</v>
      </c>
      <c r="G580" s="3"/>
      <c r="H580" s="12"/>
      <c r="I580" s="13"/>
      <c r="J580" s="10"/>
      <c r="K580" s="3"/>
      <c r="L580" s="3"/>
      <c r="M580" s="3"/>
      <c r="N580" s="3"/>
      <c r="O580" s="3"/>
      <c r="P580" s="3"/>
      <c r="Q580" s="3"/>
      <c r="R580" s="3"/>
      <c r="S580" s="3"/>
      <c r="T580" s="3"/>
      <c r="U580" s="3"/>
      <c r="V580" s="3"/>
      <c r="W580" s="10" t="str">
        <f>IF( J580="s.i", "s.i", IF(ISBLANK(J580),"Actualizando información",IFERROR(J580 / VLOOKUP(A580,Deflactor!$G$3:$H$64,2,0),"Revisar error" )))</f>
        <v>Actualizando información</v>
      </c>
    </row>
    <row r="581" spans="1:23" x14ac:dyDescent="0.25">
      <c r="A581" s="3">
        <v>1998</v>
      </c>
      <c r="B581" s="3" t="s">
        <v>678</v>
      </c>
      <c r="C581" s="3" t="s">
        <v>7</v>
      </c>
      <c r="D581" s="3" t="s">
        <v>45</v>
      </c>
      <c r="E581" s="3" t="s">
        <v>184</v>
      </c>
      <c r="F581" s="3" t="s">
        <v>623</v>
      </c>
      <c r="G581" s="3"/>
      <c r="H581" s="12"/>
      <c r="I581" s="13"/>
      <c r="J581" s="10"/>
      <c r="K581" s="3"/>
      <c r="L581" s="3"/>
      <c r="M581" s="3"/>
      <c r="N581" s="3"/>
      <c r="O581" s="3"/>
      <c r="P581" s="3"/>
      <c r="Q581" s="3"/>
      <c r="R581" s="3"/>
      <c r="S581" s="3"/>
      <c r="T581" s="3"/>
      <c r="U581" s="3"/>
      <c r="V581" s="3"/>
      <c r="W581" s="10" t="str">
        <f>IF( J581="s.i", "s.i", IF(ISBLANK(J581),"Actualizando información",IFERROR(J581 / VLOOKUP(A581,Deflactor!$G$3:$H$64,2,0),"Revisar error" )))</f>
        <v>Actualizando información</v>
      </c>
    </row>
    <row r="582" spans="1:23" x14ac:dyDescent="0.25">
      <c r="A582" s="3">
        <v>1998</v>
      </c>
      <c r="B582" s="3" t="s">
        <v>515</v>
      </c>
      <c r="C582" s="3" t="s">
        <v>7</v>
      </c>
      <c r="D582" s="3" t="s">
        <v>25</v>
      </c>
      <c r="E582" s="3" t="s">
        <v>409</v>
      </c>
      <c r="F582" s="3" t="s">
        <v>623</v>
      </c>
      <c r="G582" s="3"/>
      <c r="H582" s="12"/>
      <c r="I582" s="13"/>
      <c r="J582" s="10"/>
      <c r="K582" s="3"/>
      <c r="L582" s="3"/>
      <c r="M582" s="3"/>
      <c r="N582" s="3"/>
      <c r="O582" s="3"/>
      <c r="P582" s="3"/>
      <c r="Q582" s="3"/>
      <c r="R582" s="3"/>
      <c r="S582" s="3"/>
      <c r="T582" s="3"/>
      <c r="U582" s="3"/>
      <c r="V582" s="3"/>
      <c r="W582" s="10" t="str">
        <f>IF( J582="s.i", "s.i", IF(ISBLANK(J582),"Actualizando información",IFERROR(J582 / VLOOKUP(A582,Deflactor!$G$3:$H$64,2,0),"Revisar error" )))</f>
        <v>Actualizando información</v>
      </c>
    </row>
    <row r="583" spans="1:23" x14ac:dyDescent="0.25">
      <c r="A583" s="3">
        <v>1998</v>
      </c>
      <c r="B583" s="3" t="s">
        <v>679</v>
      </c>
      <c r="C583" s="3" t="s">
        <v>7</v>
      </c>
      <c r="D583" s="3" t="s">
        <v>25</v>
      </c>
      <c r="E583" s="3" t="s">
        <v>26</v>
      </c>
      <c r="F583" s="3" t="s">
        <v>623</v>
      </c>
      <c r="G583" s="3"/>
      <c r="H583" s="12"/>
      <c r="I583" s="13"/>
      <c r="J583" s="10"/>
      <c r="K583" s="3"/>
      <c r="L583" s="3"/>
      <c r="M583" s="3"/>
      <c r="N583" s="3"/>
      <c r="O583" s="3"/>
      <c r="P583" s="3"/>
      <c r="Q583" s="3"/>
      <c r="R583" s="3"/>
      <c r="S583" s="3"/>
      <c r="T583" s="3"/>
      <c r="U583" s="3"/>
      <c r="V583" s="3"/>
      <c r="W583" s="10" t="str">
        <f>IF( J583="s.i", "s.i", IF(ISBLANK(J583),"Actualizando información",IFERROR(J583 / VLOOKUP(A583,Deflactor!$G$3:$H$64,2,0),"Revisar error" )))</f>
        <v>Actualizando información</v>
      </c>
    </row>
    <row r="584" spans="1:23" x14ac:dyDescent="0.25">
      <c r="A584" s="3">
        <v>1998</v>
      </c>
      <c r="B584" s="3" t="s">
        <v>680</v>
      </c>
      <c r="C584" s="3" t="s">
        <v>7</v>
      </c>
      <c r="D584" s="3" t="s">
        <v>25</v>
      </c>
      <c r="E584" s="3" t="s">
        <v>26</v>
      </c>
      <c r="F584" s="3" t="s">
        <v>623</v>
      </c>
      <c r="G584" s="3"/>
      <c r="H584" s="12"/>
      <c r="I584" s="13"/>
      <c r="J584" s="10"/>
      <c r="K584" s="3"/>
      <c r="L584" s="3"/>
      <c r="M584" s="3"/>
      <c r="N584" s="3"/>
      <c r="O584" s="3"/>
      <c r="P584" s="3"/>
      <c r="Q584" s="3"/>
      <c r="R584" s="3"/>
      <c r="S584" s="3"/>
      <c r="T584" s="3"/>
      <c r="U584" s="3"/>
      <c r="V584" s="3"/>
      <c r="W584" s="10" t="str">
        <f>IF( J584="s.i", "s.i", IF(ISBLANK(J584),"Actualizando información",IFERROR(J584 / VLOOKUP(A584,Deflactor!$G$3:$H$64,2,0),"Revisar error" )))</f>
        <v>Actualizando información</v>
      </c>
    </row>
    <row r="585" spans="1:23" x14ac:dyDescent="0.25">
      <c r="A585" s="3">
        <v>1998</v>
      </c>
      <c r="B585" s="3" t="s">
        <v>681</v>
      </c>
      <c r="C585" s="3" t="s">
        <v>7</v>
      </c>
      <c r="D585" s="3" t="s">
        <v>36</v>
      </c>
      <c r="E585" s="3" t="s">
        <v>37</v>
      </c>
      <c r="F585" s="3" t="s">
        <v>623</v>
      </c>
      <c r="G585" s="3"/>
      <c r="H585" s="12"/>
      <c r="I585" s="13"/>
      <c r="J585" s="10"/>
      <c r="K585" s="3"/>
      <c r="L585" s="3"/>
      <c r="M585" s="3"/>
      <c r="N585" s="3"/>
      <c r="O585" s="3"/>
      <c r="P585" s="3"/>
      <c r="Q585" s="3"/>
      <c r="R585" s="3"/>
      <c r="S585" s="3"/>
      <c r="T585" s="3"/>
      <c r="U585" s="3"/>
      <c r="V585" s="3"/>
      <c r="W585" s="10" t="str">
        <f>IF( J585="s.i", "s.i", IF(ISBLANK(J585),"Actualizando información",IFERROR(J585 / VLOOKUP(A585,Deflactor!$G$3:$H$64,2,0),"Revisar error" )))</f>
        <v>Actualizando información</v>
      </c>
    </row>
    <row r="586" spans="1:23" x14ac:dyDescent="0.25">
      <c r="A586" s="3">
        <v>1998</v>
      </c>
      <c r="B586" s="3" t="s">
        <v>682</v>
      </c>
      <c r="C586" s="3" t="s">
        <v>7</v>
      </c>
      <c r="D586" s="3" t="s">
        <v>36</v>
      </c>
      <c r="E586" s="3" t="s">
        <v>94</v>
      </c>
      <c r="F586" s="3" t="s">
        <v>623</v>
      </c>
      <c r="G586" s="3"/>
      <c r="H586" s="12"/>
      <c r="I586" s="13"/>
      <c r="J586" s="10"/>
      <c r="K586" s="3"/>
      <c r="L586" s="3"/>
      <c r="M586" s="3"/>
      <c r="N586" s="3"/>
      <c r="O586" s="3"/>
      <c r="P586" s="3"/>
      <c r="Q586" s="3"/>
      <c r="R586" s="3"/>
      <c r="S586" s="3"/>
      <c r="T586" s="3"/>
      <c r="U586" s="3" t="s">
        <v>1149</v>
      </c>
      <c r="V586" s="3"/>
      <c r="W586" s="10" t="str">
        <f>IF( J586="s.i", "s.i", IF(ISBLANK(J586),"Actualizando información",IFERROR(J586 / VLOOKUP(A586,Deflactor!$G$3:$H$64,2,0),"Revisar error" )))</f>
        <v>Actualizando información</v>
      </c>
    </row>
    <row r="587" spans="1:23" x14ac:dyDescent="0.25">
      <c r="A587" s="3">
        <v>1998</v>
      </c>
      <c r="B587" s="3" t="s">
        <v>683</v>
      </c>
      <c r="C587" s="3" t="s">
        <v>7</v>
      </c>
      <c r="D587" s="3" t="s">
        <v>36</v>
      </c>
      <c r="E587" s="3" t="s">
        <v>98</v>
      </c>
      <c r="F587" s="3" t="s">
        <v>623</v>
      </c>
      <c r="G587" s="3"/>
      <c r="H587" s="12"/>
      <c r="I587" s="13"/>
      <c r="J587" s="10"/>
      <c r="K587" s="3"/>
      <c r="L587" s="3"/>
      <c r="M587" s="3"/>
      <c r="N587" s="3"/>
      <c r="O587" s="3"/>
      <c r="P587" s="3"/>
      <c r="Q587" s="3"/>
      <c r="R587" s="3"/>
      <c r="S587" s="3"/>
      <c r="T587" s="3"/>
      <c r="U587" s="3"/>
      <c r="V587" s="3"/>
      <c r="W587" s="10" t="str">
        <f>IF( J587="s.i", "s.i", IF(ISBLANK(J587),"Actualizando información",IFERROR(J587 / VLOOKUP(A587,Deflactor!$G$3:$H$64,2,0),"Revisar error" )))</f>
        <v>Actualizando información</v>
      </c>
    </row>
    <row r="588" spans="1:23" x14ac:dyDescent="0.25">
      <c r="A588" s="3">
        <v>1998</v>
      </c>
      <c r="B588" s="3" t="s">
        <v>684</v>
      </c>
      <c r="C588" s="3" t="s">
        <v>7</v>
      </c>
      <c r="D588" s="3" t="s">
        <v>36</v>
      </c>
      <c r="E588" s="3" t="s">
        <v>98</v>
      </c>
      <c r="F588" s="3" t="s">
        <v>623</v>
      </c>
      <c r="G588" s="3"/>
      <c r="H588" s="12"/>
      <c r="I588" s="13"/>
      <c r="J588" s="10"/>
      <c r="K588" s="3"/>
      <c r="L588" s="3"/>
      <c r="M588" s="3"/>
      <c r="N588" s="3"/>
      <c r="O588" s="3"/>
      <c r="P588" s="3"/>
      <c r="Q588" s="3"/>
      <c r="R588" s="3"/>
      <c r="S588" s="3"/>
      <c r="T588" s="3"/>
      <c r="U588" s="3"/>
      <c r="V588" s="3"/>
      <c r="W588" s="10" t="str">
        <f>IF( J588="s.i", "s.i", IF(ISBLANK(J588),"Actualizando información",IFERROR(J588 / VLOOKUP(A588,Deflactor!$G$3:$H$64,2,0),"Revisar error" )))</f>
        <v>Actualizando información</v>
      </c>
    </row>
    <row r="589" spans="1:23" x14ac:dyDescent="0.25">
      <c r="A589" s="3">
        <v>1998</v>
      </c>
      <c r="B589" s="3" t="s">
        <v>685</v>
      </c>
      <c r="C589" s="3" t="s">
        <v>7</v>
      </c>
      <c r="D589" s="3" t="s">
        <v>40</v>
      </c>
      <c r="E589" s="3" t="s">
        <v>41</v>
      </c>
      <c r="F589" s="3" t="s">
        <v>623</v>
      </c>
      <c r="G589" s="3"/>
      <c r="H589" s="12"/>
      <c r="I589" s="13"/>
      <c r="J589" s="10"/>
      <c r="K589" s="3"/>
      <c r="L589" s="3"/>
      <c r="M589" s="3"/>
      <c r="N589" s="3"/>
      <c r="O589" s="3"/>
      <c r="P589" s="3"/>
      <c r="Q589" s="3"/>
      <c r="R589" s="3"/>
      <c r="S589" s="3"/>
      <c r="T589" s="3"/>
      <c r="U589" s="3"/>
      <c r="V589" s="3"/>
      <c r="W589" s="10" t="str">
        <f>IF( J589="s.i", "s.i", IF(ISBLANK(J589),"Actualizando información",IFERROR(J589 / VLOOKUP(A589,Deflactor!$G$3:$H$64,2,0),"Revisar error" )))</f>
        <v>Actualizando información</v>
      </c>
    </row>
    <row r="590" spans="1:23" x14ac:dyDescent="0.25">
      <c r="A590" s="3">
        <v>1998</v>
      </c>
      <c r="B590" s="3" t="s">
        <v>686</v>
      </c>
      <c r="C590" s="3" t="s">
        <v>7</v>
      </c>
      <c r="D590" s="3" t="s">
        <v>40</v>
      </c>
      <c r="E590" s="3" t="s">
        <v>41</v>
      </c>
      <c r="F590" s="3" t="s">
        <v>623</v>
      </c>
      <c r="G590" s="3"/>
      <c r="H590" s="12"/>
      <c r="I590" s="13"/>
      <c r="J590" s="10"/>
      <c r="K590" s="3"/>
      <c r="L590" s="3"/>
      <c r="M590" s="3"/>
      <c r="N590" s="3"/>
      <c r="O590" s="3"/>
      <c r="P590" s="3"/>
      <c r="Q590" s="3"/>
      <c r="R590" s="3"/>
      <c r="S590" s="3"/>
      <c r="T590" s="3"/>
      <c r="U590" s="3"/>
      <c r="V590" s="3"/>
      <c r="W590" s="10" t="str">
        <f>IF( J590="s.i", "s.i", IF(ISBLANK(J590),"Actualizando información",IFERROR(J590 / VLOOKUP(A590,Deflactor!$G$3:$H$64,2,0),"Revisar error" )))</f>
        <v>Actualizando información</v>
      </c>
    </row>
    <row r="591" spans="1:23" x14ac:dyDescent="0.25">
      <c r="A591" s="3">
        <v>1998</v>
      </c>
      <c r="B591" s="3" t="s">
        <v>687</v>
      </c>
      <c r="C591" s="3" t="s">
        <v>7</v>
      </c>
      <c r="D591" s="3" t="s">
        <v>40</v>
      </c>
      <c r="E591" s="3" t="s">
        <v>41</v>
      </c>
      <c r="F591" s="3" t="s">
        <v>623</v>
      </c>
      <c r="G591" s="3"/>
      <c r="H591" s="12"/>
      <c r="I591" s="13"/>
      <c r="J591" s="10"/>
      <c r="K591" s="3"/>
      <c r="L591" s="3"/>
      <c r="M591" s="3"/>
      <c r="N591" s="3"/>
      <c r="O591" s="3"/>
      <c r="P591" s="3"/>
      <c r="Q591" s="3"/>
      <c r="R591" s="3"/>
      <c r="S591" s="3"/>
      <c r="T591" s="3"/>
      <c r="U591" s="3"/>
      <c r="V591" s="3"/>
      <c r="W591" s="10" t="str">
        <f>IF( J591="s.i", "s.i", IF(ISBLANK(J591),"Actualizando información",IFERROR(J591 / VLOOKUP(A591,Deflactor!$G$3:$H$64,2,0),"Revisar error" )))</f>
        <v>Actualizando información</v>
      </c>
    </row>
    <row r="592" spans="1:23" x14ac:dyDescent="0.25">
      <c r="A592" s="3">
        <v>1998</v>
      </c>
      <c r="B592" s="3" t="s">
        <v>688</v>
      </c>
      <c r="C592" s="3" t="s">
        <v>7</v>
      </c>
      <c r="D592" s="3" t="s">
        <v>36</v>
      </c>
      <c r="E592" s="3" t="s">
        <v>81</v>
      </c>
      <c r="F592" s="3" t="s">
        <v>623</v>
      </c>
      <c r="G592" s="3"/>
      <c r="H592" s="12"/>
      <c r="I592" s="13"/>
      <c r="J592" s="10"/>
      <c r="K592" s="3"/>
      <c r="L592" s="3"/>
      <c r="M592" s="3"/>
      <c r="N592" s="3"/>
      <c r="O592" s="3"/>
      <c r="P592" s="3"/>
      <c r="Q592" s="3"/>
      <c r="R592" s="3"/>
      <c r="S592" s="3"/>
      <c r="T592" s="3"/>
      <c r="U592" s="3"/>
      <c r="V592" s="3"/>
      <c r="W592" s="10" t="str">
        <f>IF( J592="s.i", "s.i", IF(ISBLANK(J592),"Actualizando información",IFERROR(J592 / VLOOKUP(A592,Deflactor!$G$3:$H$64,2,0),"Revisar error" )))</f>
        <v>Actualizando información</v>
      </c>
    </row>
    <row r="593" spans="1:23" x14ac:dyDescent="0.25">
      <c r="A593" s="3">
        <v>1998</v>
      </c>
      <c r="B593" s="3" t="s">
        <v>689</v>
      </c>
      <c r="C593" s="3" t="s">
        <v>7</v>
      </c>
      <c r="D593" s="3" t="s">
        <v>36</v>
      </c>
      <c r="E593" s="3" t="s">
        <v>98</v>
      </c>
      <c r="F593" s="3" t="s">
        <v>623</v>
      </c>
      <c r="G593" s="3"/>
      <c r="H593" s="12"/>
      <c r="I593" s="13"/>
      <c r="J593" s="10"/>
      <c r="K593" s="3"/>
      <c r="L593" s="3"/>
      <c r="M593" s="3"/>
      <c r="N593" s="3"/>
      <c r="O593" s="3"/>
      <c r="P593" s="3"/>
      <c r="Q593" s="3"/>
      <c r="R593" s="3"/>
      <c r="S593" s="3"/>
      <c r="T593" s="3"/>
      <c r="U593" s="3"/>
      <c r="V593" s="3"/>
      <c r="W593" s="10" t="str">
        <f>IF( J593="s.i", "s.i", IF(ISBLANK(J593),"Actualizando información",IFERROR(J593 / VLOOKUP(A593,Deflactor!$G$3:$H$64,2,0),"Revisar error" )))</f>
        <v>Actualizando información</v>
      </c>
    </row>
    <row r="594" spans="1:23" x14ac:dyDescent="0.25">
      <c r="A594" s="3">
        <v>1998</v>
      </c>
      <c r="B594" s="3" t="s">
        <v>690</v>
      </c>
      <c r="C594" s="3" t="s">
        <v>7</v>
      </c>
      <c r="D594" s="3" t="s">
        <v>40</v>
      </c>
      <c r="E594" s="3" t="s">
        <v>41</v>
      </c>
      <c r="F594" s="3" t="s">
        <v>623</v>
      </c>
      <c r="G594" s="3"/>
      <c r="H594" s="12"/>
      <c r="I594" s="13"/>
      <c r="J594" s="10"/>
      <c r="K594" s="3"/>
      <c r="L594" s="3"/>
      <c r="M594" s="3"/>
      <c r="N594" s="3"/>
      <c r="O594" s="3"/>
      <c r="P594" s="3"/>
      <c r="Q594" s="3"/>
      <c r="R594" s="3"/>
      <c r="S594" s="3"/>
      <c r="T594" s="3"/>
      <c r="U594" s="3"/>
      <c r="V594" s="3"/>
      <c r="W594" s="10" t="str">
        <f>IF( J594="s.i", "s.i", IF(ISBLANK(J594),"Actualizando información",IFERROR(J594 / VLOOKUP(A594,Deflactor!$G$3:$H$64,2,0),"Revisar error" )))</f>
        <v>Actualizando información</v>
      </c>
    </row>
    <row r="595" spans="1:23" x14ac:dyDescent="0.25">
      <c r="A595" s="3">
        <v>1998</v>
      </c>
      <c r="B595" s="3" t="s">
        <v>691</v>
      </c>
      <c r="C595" s="3" t="s">
        <v>7</v>
      </c>
      <c r="D595" s="3" t="s">
        <v>8</v>
      </c>
      <c r="E595" s="3" t="s">
        <v>692</v>
      </c>
      <c r="F595" s="3" t="s">
        <v>623</v>
      </c>
      <c r="G595" s="3"/>
      <c r="H595" s="12"/>
      <c r="I595" s="13"/>
      <c r="J595" s="10"/>
      <c r="K595" s="3"/>
      <c r="L595" s="3"/>
      <c r="M595" s="3"/>
      <c r="N595" s="3"/>
      <c r="O595" s="3"/>
      <c r="P595" s="3"/>
      <c r="Q595" s="3"/>
      <c r="R595" s="3"/>
      <c r="S595" s="3"/>
      <c r="T595" s="3"/>
      <c r="U595" s="3"/>
      <c r="V595" s="3"/>
      <c r="W595" s="10" t="str">
        <f>IF( J595="s.i", "s.i", IF(ISBLANK(J595),"Actualizando información",IFERROR(J595 / VLOOKUP(A595,Deflactor!$G$3:$H$64,2,0),"Revisar error" )))</f>
        <v>Actualizando información</v>
      </c>
    </row>
    <row r="596" spans="1:23" x14ac:dyDescent="0.25">
      <c r="A596" s="3">
        <v>1998</v>
      </c>
      <c r="B596" s="3" t="s">
        <v>693</v>
      </c>
      <c r="C596" s="3" t="s">
        <v>7</v>
      </c>
      <c r="D596" s="3" t="s">
        <v>8</v>
      </c>
      <c r="E596" s="3" t="s">
        <v>51</v>
      </c>
      <c r="F596" s="3" t="s">
        <v>623</v>
      </c>
      <c r="G596" s="3"/>
      <c r="H596" s="12"/>
      <c r="I596" s="13"/>
      <c r="J596" s="10"/>
      <c r="K596" s="3"/>
      <c r="L596" s="3"/>
      <c r="M596" s="3"/>
      <c r="N596" s="3"/>
      <c r="O596" s="3"/>
      <c r="P596" s="3"/>
      <c r="Q596" s="3"/>
      <c r="R596" s="3"/>
      <c r="S596" s="3"/>
      <c r="T596" s="3"/>
      <c r="U596" s="3"/>
      <c r="V596" s="3"/>
      <c r="W596" s="10" t="str">
        <f>IF( J596="s.i", "s.i", IF(ISBLANK(J596),"Actualizando información",IFERROR(J596 / VLOOKUP(A596,Deflactor!$G$3:$H$64,2,0),"Revisar error" )))</f>
        <v>Actualizando información</v>
      </c>
    </row>
    <row r="597" spans="1:23" x14ac:dyDescent="0.25">
      <c r="A597" s="3">
        <v>1998</v>
      </c>
      <c r="B597" s="3" t="s">
        <v>662</v>
      </c>
      <c r="C597" s="3" t="s">
        <v>7</v>
      </c>
      <c r="D597" s="3" t="s">
        <v>64</v>
      </c>
      <c r="E597" s="3" t="s">
        <v>570</v>
      </c>
      <c r="F597" s="3" t="s">
        <v>623</v>
      </c>
      <c r="G597" s="3"/>
      <c r="H597" s="12"/>
      <c r="I597" s="13"/>
      <c r="J597" s="10"/>
      <c r="K597" s="3"/>
      <c r="L597" s="3"/>
      <c r="M597" s="3"/>
      <c r="N597" s="3"/>
      <c r="O597" s="3"/>
      <c r="P597" s="3"/>
      <c r="Q597" s="3"/>
      <c r="R597" s="3"/>
      <c r="S597" s="3"/>
      <c r="T597" s="3"/>
      <c r="U597" s="3"/>
      <c r="V597" s="3"/>
      <c r="W597" s="10" t="str">
        <f>IF( J597="s.i", "s.i", IF(ISBLANK(J597),"Actualizando información",IFERROR(J597 / VLOOKUP(A597,Deflactor!$G$3:$H$64,2,0),"Revisar error" )))</f>
        <v>Actualizando información</v>
      </c>
    </row>
    <row r="598" spans="1:23" x14ac:dyDescent="0.25">
      <c r="A598" s="3">
        <v>1998</v>
      </c>
      <c r="B598" s="3" t="s">
        <v>694</v>
      </c>
      <c r="C598" s="3" t="s">
        <v>7</v>
      </c>
      <c r="D598" s="3" t="s">
        <v>64</v>
      </c>
      <c r="E598" s="3" t="s">
        <v>65</v>
      </c>
      <c r="F598" s="3" t="s">
        <v>623</v>
      </c>
      <c r="G598" s="3"/>
      <c r="H598" s="12"/>
      <c r="I598" s="13"/>
      <c r="J598" s="10"/>
      <c r="K598" s="3"/>
      <c r="L598" s="3"/>
      <c r="M598" s="3"/>
      <c r="N598" s="3"/>
      <c r="O598" s="3"/>
      <c r="P598" s="3"/>
      <c r="Q598" s="3"/>
      <c r="R598" s="3"/>
      <c r="S598" s="3"/>
      <c r="T598" s="3"/>
      <c r="U598" s="3"/>
      <c r="V598" s="3"/>
      <c r="W598" s="10" t="str">
        <f>IF( J598="s.i", "s.i", IF(ISBLANK(J598),"Actualizando información",IFERROR(J598 / VLOOKUP(A598,Deflactor!$G$3:$H$64,2,0),"Revisar error" )))</f>
        <v>Actualizando información</v>
      </c>
    </row>
    <row r="599" spans="1:23" x14ac:dyDescent="0.25">
      <c r="A599" s="3">
        <v>1998</v>
      </c>
      <c r="B599" s="3" t="s">
        <v>695</v>
      </c>
      <c r="C599" s="3" t="s">
        <v>7</v>
      </c>
      <c r="D599" s="3" t="s">
        <v>54</v>
      </c>
      <c r="E599" s="3" t="s">
        <v>243</v>
      </c>
      <c r="F599" s="3" t="s">
        <v>623</v>
      </c>
      <c r="G599" s="3"/>
      <c r="H599" s="12"/>
      <c r="I599" s="13"/>
      <c r="J599" s="10"/>
      <c r="K599" s="3"/>
      <c r="L599" s="3"/>
      <c r="M599" s="3"/>
      <c r="N599" s="3"/>
      <c r="O599" s="3"/>
      <c r="P599" s="3"/>
      <c r="Q599" s="3"/>
      <c r="R599" s="3"/>
      <c r="S599" s="3"/>
      <c r="T599" s="3"/>
      <c r="U599" s="3"/>
      <c r="V599" s="3"/>
      <c r="W599" s="10" t="str">
        <f>IF( J599="s.i", "s.i", IF(ISBLANK(J599),"Actualizando información",IFERROR(J599 / VLOOKUP(A599,Deflactor!$G$3:$H$64,2,0),"Revisar error" )))</f>
        <v>Actualizando información</v>
      </c>
    </row>
    <row r="600" spans="1:23" x14ac:dyDescent="0.25">
      <c r="A600" s="3">
        <v>1998</v>
      </c>
      <c r="B600" s="3" t="s">
        <v>696</v>
      </c>
      <c r="C600" s="3" t="s">
        <v>7</v>
      </c>
      <c r="D600" s="3" t="s">
        <v>54</v>
      </c>
      <c r="E600" s="3" t="s">
        <v>645</v>
      </c>
      <c r="F600" s="3" t="s">
        <v>623</v>
      </c>
      <c r="G600" s="3"/>
      <c r="H600" s="12"/>
      <c r="I600" s="13"/>
      <c r="J600" s="10"/>
      <c r="K600" s="3"/>
      <c r="L600" s="3"/>
      <c r="M600" s="3"/>
      <c r="N600" s="3"/>
      <c r="O600" s="3"/>
      <c r="P600" s="3"/>
      <c r="Q600" s="3"/>
      <c r="R600" s="3"/>
      <c r="S600" s="3"/>
      <c r="T600" s="3"/>
      <c r="U600" s="3"/>
      <c r="V600" s="3"/>
      <c r="W600" s="10" t="str">
        <f>IF( J600="s.i", "s.i", IF(ISBLANK(J600),"Actualizando información",IFERROR(J600 / VLOOKUP(A600,Deflactor!$G$3:$H$64,2,0),"Revisar error" )))</f>
        <v>Actualizando información</v>
      </c>
    </row>
    <row r="601" spans="1:23" x14ac:dyDescent="0.25">
      <c r="A601" s="3">
        <v>1998</v>
      </c>
      <c r="B601" s="3" t="s">
        <v>697</v>
      </c>
      <c r="C601" s="3" t="s">
        <v>7</v>
      </c>
      <c r="D601" s="3" t="s">
        <v>54</v>
      </c>
      <c r="E601" s="3" t="s">
        <v>236</v>
      </c>
      <c r="F601" s="3" t="s">
        <v>623</v>
      </c>
      <c r="G601" s="3"/>
      <c r="H601" s="12"/>
      <c r="I601" s="13"/>
      <c r="J601" s="10"/>
      <c r="K601" s="3"/>
      <c r="L601" s="3"/>
      <c r="M601" s="3"/>
      <c r="N601" s="3"/>
      <c r="O601" s="3"/>
      <c r="P601" s="3"/>
      <c r="Q601" s="3"/>
      <c r="R601" s="3"/>
      <c r="S601" s="3"/>
      <c r="T601" s="3"/>
      <c r="U601" s="3"/>
      <c r="V601" s="3"/>
      <c r="W601" s="10" t="str">
        <f>IF( J601="s.i", "s.i", IF(ISBLANK(J601),"Actualizando información",IFERROR(J601 / VLOOKUP(A601,Deflactor!$G$3:$H$64,2,0),"Revisar error" )))</f>
        <v>Actualizando información</v>
      </c>
    </row>
    <row r="602" spans="1:23" x14ac:dyDescent="0.25">
      <c r="A602" s="3">
        <v>1998</v>
      </c>
      <c r="B602" s="3" t="s">
        <v>698</v>
      </c>
      <c r="C602" s="3" t="s">
        <v>7</v>
      </c>
      <c r="D602" s="3" t="s">
        <v>32</v>
      </c>
      <c r="E602" s="3" t="s">
        <v>33</v>
      </c>
      <c r="F602" s="3" t="s">
        <v>623</v>
      </c>
      <c r="G602" s="3"/>
      <c r="H602" s="12"/>
      <c r="I602" s="13"/>
      <c r="J602" s="10"/>
      <c r="K602" s="3"/>
      <c r="L602" s="3"/>
      <c r="M602" s="3"/>
      <c r="N602" s="3"/>
      <c r="O602" s="3"/>
      <c r="P602" s="3"/>
      <c r="Q602" s="3"/>
      <c r="R602" s="3"/>
      <c r="S602" s="3"/>
      <c r="T602" s="3"/>
      <c r="U602" s="3"/>
      <c r="V602" s="3"/>
      <c r="W602" s="10" t="str">
        <f>IF( J602="s.i", "s.i", IF(ISBLANK(J602),"Actualizando información",IFERROR(J602 / VLOOKUP(A602,Deflactor!$G$3:$H$64,2,0),"Revisar error" )))</f>
        <v>Actualizando información</v>
      </c>
    </row>
    <row r="603" spans="1:23" x14ac:dyDescent="0.25">
      <c r="A603" s="3">
        <v>1997</v>
      </c>
      <c r="B603" s="3" t="s">
        <v>699</v>
      </c>
      <c r="C603" s="3" t="s">
        <v>7</v>
      </c>
      <c r="D603" s="3" t="s">
        <v>8</v>
      </c>
      <c r="E603" s="3" t="s">
        <v>51</v>
      </c>
      <c r="F603" s="3" t="s">
        <v>623</v>
      </c>
      <c r="G603" s="3"/>
      <c r="H603" s="12"/>
      <c r="I603" s="13"/>
      <c r="J603" s="10"/>
      <c r="K603" s="3"/>
      <c r="L603" s="3"/>
      <c r="M603" s="3"/>
      <c r="N603" s="3"/>
      <c r="O603" s="3"/>
      <c r="P603" s="3"/>
      <c r="Q603" s="3"/>
      <c r="R603" s="3"/>
      <c r="S603" s="3"/>
      <c r="T603" s="3"/>
      <c r="U603" s="3"/>
      <c r="V603" s="3"/>
      <c r="W603" s="10" t="str">
        <f>IF( J603="s.i", "s.i", IF(ISBLANK(J603),"Actualizando información",IFERROR(J603 / VLOOKUP(A603,Deflactor!$G$3:$H$64,2,0),"Revisar error" )))</f>
        <v>Actualizando información</v>
      </c>
    </row>
    <row r="604" spans="1:23" x14ac:dyDescent="0.25">
      <c r="A604" s="3">
        <v>1997</v>
      </c>
      <c r="B604" s="3" t="s">
        <v>700</v>
      </c>
      <c r="C604" s="3" t="s">
        <v>7</v>
      </c>
      <c r="D604" s="3" t="s">
        <v>71</v>
      </c>
      <c r="E604" s="3" t="s">
        <v>167</v>
      </c>
      <c r="F604" s="3" t="s">
        <v>623</v>
      </c>
      <c r="G604" s="3"/>
      <c r="H604" s="12"/>
      <c r="I604" s="13"/>
      <c r="J604" s="10"/>
      <c r="K604" s="3"/>
      <c r="L604" s="3"/>
      <c r="M604" s="3"/>
      <c r="N604" s="3"/>
      <c r="O604" s="3"/>
      <c r="P604" s="3"/>
      <c r="Q604" s="3"/>
      <c r="R604" s="3"/>
      <c r="S604" s="3"/>
      <c r="T604" s="3"/>
      <c r="U604" s="3"/>
      <c r="V604" s="3"/>
      <c r="W604" s="10" t="str">
        <f>IF( J604="s.i", "s.i", IF(ISBLANK(J604),"Actualizando información",IFERROR(J604 / VLOOKUP(A604,Deflactor!$G$3:$H$64,2,0),"Revisar error" )))</f>
        <v>Actualizando información</v>
      </c>
    </row>
    <row r="605" spans="1:23" x14ac:dyDescent="0.25">
      <c r="A605" s="3">
        <v>1997</v>
      </c>
      <c r="B605" s="3" t="s">
        <v>701</v>
      </c>
      <c r="C605" s="3" t="s">
        <v>7</v>
      </c>
      <c r="D605" s="3" t="s">
        <v>36</v>
      </c>
      <c r="E605" s="3" t="s">
        <v>81</v>
      </c>
      <c r="F605" s="3" t="s">
        <v>623</v>
      </c>
      <c r="G605" s="3"/>
      <c r="H605" s="12"/>
      <c r="I605" s="13"/>
      <c r="J605" s="10"/>
      <c r="K605" s="3"/>
      <c r="L605" s="3"/>
      <c r="M605" s="3"/>
      <c r="N605" s="3"/>
      <c r="O605" s="3"/>
      <c r="P605" s="3"/>
      <c r="Q605" s="3"/>
      <c r="R605" s="3"/>
      <c r="S605" s="3"/>
      <c r="T605" s="3"/>
      <c r="U605" s="3"/>
      <c r="V605" s="3"/>
      <c r="W605" s="10" t="str">
        <f>IF( J605="s.i", "s.i", IF(ISBLANK(J605),"Actualizando información",IFERROR(J605 / VLOOKUP(A605,Deflactor!$G$3:$H$64,2,0),"Revisar error" )))</f>
        <v>Actualizando información</v>
      </c>
    </row>
    <row r="606" spans="1:23" x14ac:dyDescent="0.25">
      <c r="A606" s="3">
        <v>1997</v>
      </c>
      <c r="B606" s="3" t="s">
        <v>702</v>
      </c>
      <c r="C606" s="3" t="s">
        <v>7</v>
      </c>
      <c r="D606" s="3" t="s">
        <v>36</v>
      </c>
      <c r="E606" s="3" t="s">
        <v>37</v>
      </c>
      <c r="F606" s="3" t="s">
        <v>623</v>
      </c>
      <c r="G606" s="3"/>
      <c r="H606" s="12"/>
      <c r="I606" s="13"/>
      <c r="J606" s="10"/>
      <c r="K606" s="3"/>
      <c r="L606" s="3"/>
      <c r="M606" s="3"/>
      <c r="N606" s="3"/>
      <c r="O606" s="3"/>
      <c r="P606" s="3"/>
      <c r="Q606" s="3"/>
      <c r="R606" s="3"/>
      <c r="S606" s="3"/>
      <c r="T606" s="3"/>
      <c r="U606" s="3"/>
      <c r="V606" s="3"/>
      <c r="W606" s="10" t="str">
        <f>IF( J606="s.i", "s.i", IF(ISBLANK(J606),"Actualizando información",IFERROR(J606 / VLOOKUP(A606,Deflactor!$G$3:$H$64,2,0),"Revisar error" )))</f>
        <v>Actualizando información</v>
      </c>
    </row>
    <row r="607" spans="1:23" x14ac:dyDescent="0.25">
      <c r="A607" s="3">
        <v>1997</v>
      </c>
      <c r="B607" s="3" t="s">
        <v>616</v>
      </c>
      <c r="C607" s="3" t="s">
        <v>7</v>
      </c>
      <c r="D607" s="3" t="s">
        <v>36</v>
      </c>
      <c r="E607" s="3" t="s">
        <v>37</v>
      </c>
      <c r="F607" s="3" t="s">
        <v>623</v>
      </c>
      <c r="G607" s="3"/>
      <c r="H607" s="12"/>
      <c r="I607" s="13"/>
      <c r="J607" s="10"/>
      <c r="K607" s="3"/>
      <c r="L607" s="3"/>
      <c r="M607" s="3"/>
      <c r="N607" s="3"/>
      <c r="O607" s="3"/>
      <c r="P607" s="3"/>
      <c r="Q607" s="3"/>
      <c r="R607" s="3"/>
      <c r="S607" s="3"/>
      <c r="T607" s="3"/>
      <c r="U607" s="3"/>
      <c r="V607" s="3"/>
      <c r="W607" s="10" t="str">
        <f>IF( J607="s.i", "s.i", IF(ISBLANK(J607),"Actualizando información",IFERROR(J607 / VLOOKUP(A607,Deflactor!$G$3:$H$64,2,0),"Revisar error" )))</f>
        <v>Actualizando información</v>
      </c>
    </row>
    <row r="608" spans="1:23" x14ac:dyDescent="0.25">
      <c r="A608" s="3">
        <v>1997</v>
      </c>
      <c r="B608" s="3" t="s">
        <v>703</v>
      </c>
      <c r="C608" s="3" t="s">
        <v>7</v>
      </c>
      <c r="D608" s="3" t="s">
        <v>25</v>
      </c>
      <c r="E608" s="3" t="s">
        <v>26</v>
      </c>
      <c r="F608" s="3" t="s">
        <v>623</v>
      </c>
      <c r="G608" s="3"/>
      <c r="H608" s="12"/>
      <c r="I608" s="13"/>
      <c r="J608" s="10"/>
      <c r="K608" s="3"/>
      <c r="L608" s="3"/>
      <c r="M608" s="3"/>
      <c r="N608" s="3"/>
      <c r="O608" s="3"/>
      <c r="P608" s="3"/>
      <c r="Q608" s="3"/>
      <c r="R608" s="3"/>
      <c r="S608" s="3"/>
      <c r="T608" s="3"/>
      <c r="U608" s="3"/>
      <c r="V608" s="3"/>
      <c r="W608" s="10" t="str">
        <f>IF( J608="s.i", "s.i", IF(ISBLANK(J608),"Actualizando información",IFERROR(J608 / VLOOKUP(A608,Deflactor!$G$3:$H$64,2,0),"Revisar error" )))</f>
        <v>Actualizando información</v>
      </c>
    </row>
    <row r="609" spans="1:23" x14ac:dyDescent="0.25">
      <c r="A609" s="3">
        <v>1997</v>
      </c>
      <c r="B609" s="3" t="s">
        <v>704</v>
      </c>
      <c r="C609" s="3" t="s">
        <v>7</v>
      </c>
      <c r="D609" s="3" t="s">
        <v>12</v>
      </c>
      <c r="E609" s="3" t="s">
        <v>13</v>
      </c>
      <c r="F609" s="3" t="s">
        <v>623</v>
      </c>
      <c r="G609" s="3"/>
      <c r="H609" s="12"/>
      <c r="I609" s="13"/>
      <c r="J609" s="10"/>
      <c r="K609" s="3"/>
      <c r="L609" s="3"/>
      <c r="M609" s="3"/>
      <c r="N609" s="3"/>
      <c r="O609" s="3"/>
      <c r="P609" s="3"/>
      <c r="Q609" s="3"/>
      <c r="R609" s="3"/>
      <c r="S609" s="3"/>
      <c r="T609" s="3"/>
      <c r="U609" s="3"/>
      <c r="V609" s="3"/>
      <c r="W609" s="10" t="str">
        <f>IF( J609="s.i", "s.i", IF(ISBLANK(J609),"Actualizando información",IFERROR(J609 / VLOOKUP(A609,Deflactor!$G$3:$H$64,2,0),"Revisar error" )))</f>
        <v>Actualizando información</v>
      </c>
    </row>
    <row r="610" spans="1:23" x14ac:dyDescent="0.25">
      <c r="A610" s="3">
        <v>1997</v>
      </c>
      <c r="B610" s="3" t="s">
        <v>705</v>
      </c>
      <c r="C610" s="3" t="s">
        <v>7</v>
      </c>
      <c r="D610" s="3" t="s">
        <v>64</v>
      </c>
      <c r="E610" s="3" t="s">
        <v>203</v>
      </c>
      <c r="F610" s="3" t="s">
        <v>623</v>
      </c>
      <c r="G610" s="3"/>
      <c r="H610" s="12"/>
      <c r="I610" s="13"/>
      <c r="J610" s="10"/>
      <c r="K610" s="3"/>
      <c r="L610" s="3"/>
      <c r="M610" s="3"/>
      <c r="N610" s="3"/>
      <c r="O610" s="3"/>
      <c r="P610" s="3"/>
      <c r="Q610" s="3"/>
      <c r="R610" s="3"/>
      <c r="S610" s="3"/>
      <c r="T610" s="3"/>
      <c r="U610" s="3"/>
      <c r="V610" s="3"/>
      <c r="W610" s="10" t="str">
        <f>IF( J610="s.i", "s.i", IF(ISBLANK(J610),"Actualizando información",IFERROR(J610 / VLOOKUP(A610,Deflactor!$G$3:$H$64,2,0),"Revisar error" )))</f>
        <v>Actualizando información</v>
      </c>
    </row>
    <row r="611" spans="1:23" x14ac:dyDescent="0.25">
      <c r="A611" s="3">
        <v>1997</v>
      </c>
      <c r="B611" s="3" t="s">
        <v>706</v>
      </c>
      <c r="C611" s="3" t="s">
        <v>7</v>
      </c>
      <c r="D611" s="3" t="s">
        <v>32</v>
      </c>
      <c r="E611" s="3" t="s">
        <v>33</v>
      </c>
      <c r="F611" s="3" t="s">
        <v>623</v>
      </c>
      <c r="G611" s="3"/>
      <c r="H611" s="12"/>
      <c r="I611" s="13"/>
      <c r="J611" s="10"/>
      <c r="K611" s="3"/>
      <c r="L611" s="3"/>
      <c r="M611" s="3"/>
      <c r="N611" s="3"/>
      <c r="O611" s="3"/>
      <c r="P611" s="3"/>
      <c r="Q611" s="3"/>
      <c r="R611" s="3"/>
      <c r="S611" s="3"/>
      <c r="T611" s="3"/>
      <c r="U611" s="3"/>
      <c r="V611" s="3"/>
      <c r="W611" s="10" t="str">
        <f>IF( J611="s.i", "s.i", IF(ISBLANK(J611),"Actualizando información",IFERROR(J611 / VLOOKUP(A611,Deflactor!$G$3:$H$64,2,0),"Revisar error" )))</f>
        <v>Actualizando información</v>
      </c>
    </row>
    <row r="612" spans="1:23" x14ac:dyDescent="0.25">
      <c r="A612" s="3">
        <v>1997</v>
      </c>
      <c r="B612" s="3" t="s">
        <v>707</v>
      </c>
      <c r="C612" s="3" t="s">
        <v>7</v>
      </c>
      <c r="D612" s="3" t="s">
        <v>290</v>
      </c>
      <c r="E612" s="3" t="s">
        <v>120</v>
      </c>
      <c r="F612" s="3" t="s">
        <v>623</v>
      </c>
      <c r="G612" s="3"/>
      <c r="H612" s="12"/>
      <c r="I612" s="13"/>
      <c r="J612" s="10"/>
      <c r="K612" s="3"/>
      <c r="L612" s="3"/>
      <c r="M612" s="3"/>
      <c r="N612" s="3"/>
      <c r="O612" s="3"/>
      <c r="P612" s="3"/>
      <c r="Q612" s="3"/>
      <c r="R612" s="3"/>
      <c r="S612" s="3"/>
      <c r="T612" s="3"/>
      <c r="U612" s="3"/>
      <c r="V612" s="3"/>
      <c r="W612" s="10" t="str">
        <f>IF( J612="s.i", "s.i", IF(ISBLANK(J612),"Actualizando información",IFERROR(J612 / VLOOKUP(A612,Deflactor!$G$3:$H$64,2,0),"Revisar error" )))</f>
        <v>Actualizando información</v>
      </c>
    </row>
    <row r="613" spans="1:23" x14ac:dyDescent="0.25">
      <c r="A613" s="3">
        <v>1997</v>
      </c>
      <c r="B613" s="3" t="s">
        <v>708</v>
      </c>
      <c r="C613" s="3" t="s">
        <v>7</v>
      </c>
      <c r="D613" s="3" t="s">
        <v>290</v>
      </c>
      <c r="E613" s="3" t="s">
        <v>120</v>
      </c>
      <c r="F613" s="3" t="s">
        <v>623</v>
      </c>
      <c r="G613" s="3"/>
      <c r="H613" s="12"/>
      <c r="I613" s="13"/>
      <c r="J613" s="10"/>
      <c r="K613" s="3"/>
      <c r="L613" s="3"/>
      <c r="M613" s="3"/>
      <c r="N613" s="3"/>
      <c r="O613" s="3"/>
      <c r="P613" s="3"/>
      <c r="Q613" s="3"/>
      <c r="R613" s="3"/>
      <c r="S613" s="3"/>
      <c r="T613" s="3"/>
      <c r="U613" s="3"/>
      <c r="V613" s="3"/>
      <c r="W613" s="10" t="str">
        <f>IF( J613="s.i", "s.i", IF(ISBLANK(J613),"Actualizando información",IFERROR(J613 / VLOOKUP(A613,Deflactor!$G$3:$H$64,2,0),"Revisar error" )))</f>
        <v>Actualizando información</v>
      </c>
    </row>
    <row r="614" spans="1:23" x14ac:dyDescent="0.25">
      <c r="A614" s="3">
        <v>1997</v>
      </c>
      <c r="B614" s="3" t="s">
        <v>709</v>
      </c>
      <c r="C614" s="3" t="s">
        <v>7</v>
      </c>
      <c r="D614" s="3" t="s">
        <v>290</v>
      </c>
      <c r="E614" s="3" t="s">
        <v>176</v>
      </c>
      <c r="F614" s="3" t="s">
        <v>623</v>
      </c>
      <c r="G614" s="3"/>
      <c r="H614" s="12"/>
      <c r="I614" s="13"/>
      <c r="J614" s="10"/>
      <c r="K614" s="3"/>
      <c r="L614" s="3"/>
      <c r="M614" s="3"/>
      <c r="N614" s="3"/>
      <c r="O614" s="3"/>
      <c r="P614" s="3"/>
      <c r="Q614" s="3"/>
      <c r="R614" s="3"/>
      <c r="S614" s="3"/>
      <c r="T614" s="3"/>
      <c r="U614" s="3"/>
      <c r="V614" s="3"/>
      <c r="W614" s="10" t="str">
        <f>IF( J614="s.i", "s.i", IF(ISBLANK(J614),"Actualizando información",IFERROR(J614 / VLOOKUP(A614,Deflactor!$G$3:$H$64,2,0),"Revisar error" )))</f>
        <v>Actualizando información</v>
      </c>
    </row>
    <row r="615" spans="1:23" x14ac:dyDescent="0.25">
      <c r="A615" s="3">
        <v>1997</v>
      </c>
      <c r="B615" s="3" t="s">
        <v>710</v>
      </c>
      <c r="C615" s="3" t="s">
        <v>7</v>
      </c>
      <c r="D615" s="3" t="s">
        <v>8</v>
      </c>
      <c r="E615" s="3" t="s">
        <v>9</v>
      </c>
      <c r="F615" s="3" t="s">
        <v>623</v>
      </c>
      <c r="G615" s="3"/>
      <c r="H615" s="12"/>
      <c r="I615" s="13"/>
      <c r="J615" s="10"/>
      <c r="K615" s="3"/>
      <c r="L615" s="3"/>
      <c r="M615" s="3"/>
      <c r="N615" s="3"/>
      <c r="O615" s="3"/>
      <c r="P615" s="3"/>
      <c r="Q615" s="3"/>
      <c r="R615" s="3"/>
      <c r="S615" s="3"/>
      <c r="T615" s="3"/>
      <c r="U615" s="3"/>
      <c r="V615" s="3"/>
      <c r="W615" s="10" t="str">
        <f>IF( J615="s.i", "s.i", IF(ISBLANK(J615),"Actualizando información",IFERROR(J615 / VLOOKUP(A615,Deflactor!$G$3:$H$64,2,0),"Revisar error" )))</f>
        <v>Actualizando información</v>
      </c>
    </row>
    <row r="616" spans="1:23" x14ac:dyDescent="0.25">
      <c r="A616" s="3">
        <v>1997</v>
      </c>
      <c r="B616" s="3" t="s">
        <v>711</v>
      </c>
      <c r="C616" s="3" t="s">
        <v>7</v>
      </c>
      <c r="D616" s="3" t="s">
        <v>32</v>
      </c>
      <c r="E616" s="3" t="s">
        <v>33</v>
      </c>
      <c r="F616" s="3" t="s">
        <v>623</v>
      </c>
      <c r="G616" s="3"/>
      <c r="H616" s="12"/>
      <c r="I616" s="13"/>
      <c r="J616" s="10"/>
      <c r="K616" s="3"/>
      <c r="L616" s="3"/>
      <c r="M616" s="3"/>
      <c r="N616" s="3"/>
      <c r="O616" s="3"/>
      <c r="P616" s="3"/>
      <c r="Q616" s="3"/>
      <c r="R616" s="3"/>
      <c r="S616" s="3"/>
      <c r="T616" s="3"/>
      <c r="U616" s="3"/>
      <c r="V616" s="3"/>
      <c r="W616" s="10" t="str">
        <f>IF( J616="s.i", "s.i", IF(ISBLANK(J616),"Actualizando información",IFERROR(J616 / VLOOKUP(A616,Deflactor!$G$3:$H$64,2,0),"Revisar error" )))</f>
        <v>Actualizando información</v>
      </c>
    </row>
    <row r="617" spans="1:23" x14ac:dyDescent="0.25">
      <c r="A617" s="3">
        <v>1997</v>
      </c>
      <c r="B617" s="3" t="s">
        <v>712</v>
      </c>
      <c r="C617" s="3" t="s">
        <v>7</v>
      </c>
      <c r="D617" s="3" t="s">
        <v>159</v>
      </c>
      <c r="E617" s="3" t="s">
        <v>160</v>
      </c>
      <c r="F617" s="3" t="s">
        <v>623</v>
      </c>
      <c r="G617" s="3"/>
      <c r="H617" s="12"/>
      <c r="I617" s="13"/>
      <c r="J617" s="10"/>
      <c r="K617" s="3"/>
      <c r="L617" s="3"/>
      <c r="M617" s="3"/>
      <c r="N617" s="3"/>
      <c r="O617" s="3"/>
      <c r="P617" s="3"/>
      <c r="Q617" s="3"/>
      <c r="R617" s="3"/>
      <c r="S617" s="3"/>
      <c r="T617" s="3"/>
      <c r="U617" s="3"/>
      <c r="V617" s="3"/>
      <c r="W617" s="10" t="str">
        <f>IF( J617="s.i", "s.i", IF(ISBLANK(J617),"Actualizando información",IFERROR(J617 / VLOOKUP(A617,Deflactor!$G$3:$H$64,2,0),"Revisar error" )))</f>
        <v>Actualizando información</v>
      </c>
    </row>
    <row r="618" spans="1:23" x14ac:dyDescent="0.25">
      <c r="A618" s="3">
        <v>1997</v>
      </c>
      <c r="B618" s="3" t="s">
        <v>713</v>
      </c>
      <c r="C618" s="3" t="s">
        <v>7</v>
      </c>
      <c r="D618" s="3" t="s">
        <v>164</v>
      </c>
      <c r="E618" s="3" t="s">
        <v>165</v>
      </c>
      <c r="F618" s="3" t="s">
        <v>623</v>
      </c>
      <c r="G618" s="3"/>
      <c r="H618" s="12"/>
      <c r="I618" s="13"/>
      <c r="J618" s="10"/>
      <c r="K618" s="3"/>
      <c r="L618" s="3"/>
      <c r="M618" s="3"/>
      <c r="N618" s="3"/>
      <c r="O618" s="3"/>
      <c r="P618" s="3"/>
      <c r="Q618" s="3"/>
      <c r="R618" s="3"/>
      <c r="S618" s="3"/>
      <c r="T618" s="3"/>
      <c r="U618" s="3"/>
      <c r="V618" s="3"/>
      <c r="W618" s="10" t="str">
        <f>IF( J618="s.i", "s.i", IF(ISBLANK(J618),"Actualizando información",IFERROR(J618 / VLOOKUP(A618,Deflactor!$G$3:$H$64,2,0),"Revisar error" )))</f>
        <v>Actualizando información</v>
      </c>
    </row>
    <row r="619" spans="1:23" x14ac:dyDescent="0.25">
      <c r="A619" s="3">
        <v>1997</v>
      </c>
      <c r="B619" s="3" t="s">
        <v>714</v>
      </c>
      <c r="C619" s="3" t="s">
        <v>7</v>
      </c>
      <c r="D619" s="3" t="s">
        <v>54</v>
      </c>
      <c r="E619" s="3" t="s">
        <v>645</v>
      </c>
      <c r="F619" s="3" t="s">
        <v>623</v>
      </c>
      <c r="G619" s="3"/>
      <c r="H619" s="12"/>
      <c r="I619" s="13"/>
      <c r="J619" s="10"/>
      <c r="K619" s="3"/>
      <c r="L619" s="3"/>
      <c r="M619" s="3"/>
      <c r="N619" s="3"/>
      <c r="O619" s="3"/>
      <c r="P619" s="3"/>
      <c r="Q619" s="3"/>
      <c r="R619" s="3"/>
      <c r="S619" s="3"/>
      <c r="T619" s="3"/>
      <c r="U619" s="3"/>
      <c r="V619" s="3"/>
      <c r="W619" s="10" t="str">
        <f>IF( J619="s.i", "s.i", IF(ISBLANK(J619),"Actualizando información",IFERROR(J619 / VLOOKUP(A619,Deflactor!$G$3:$H$64,2,0),"Revisar error" )))</f>
        <v>Actualizando información</v>
      </c>
    </row>
    <row r="620" spans="1:23" x14ac:dyDescent="0.25">
      <c r="A620" s="3">
        <v>1997</v>
      </c>
      <c r="B620" s="3" t="s">
        <v>715</v>
      </c>
      <c r="C620" s="3" t="s">
        <v>7</v>
      </c>
      <c r="D620" s="3" t="s">
        <v>54</v>
      </c>
      <c r="E620" s="3" t="s">
        <v>645</v>
      </c>
      <c r="F620" s="3" t="s">
        <v>623</v>
      </c>
      <c r="G620" s="3"/>
      <c r="H620" s="12"/>
      <c r="I620" s="13"/>
      <c r="J620" s="10"/>
      <c r="K620" s="3" t="s">
        <v>1325</v>
      </c>
      <c r="L620" s="3"/>
      <c r="M620" s="3"/>
      <c r="N620" s="3"/>
      <c r="O620" s="3"/>
      <c r="P620" s="3"/>
      <c r="Q620" s="3"/>
      <c r="R620" s="3"/>
      <c r="S620" s="3"/>
      <c r="T620" s="3"/>
      <c r="U620" s="3" t="s">
        <v>1325</v>
      </c>
      <c r="V620" s="3"/>
      <c r="W620" s="10" t="str">
        <f>IF( J620="s.i", "s.i", IF(ISBLANK(J620),"Actualizando información",IFERROR(J620 / VLOOKUP(A620,Deflactor!$G$3:$H$64,2,0),"Revisar error" )))</f>
        <v>Actualizando información</v>
      </c>
    </row>
    <row r="621" spans="1:23" x14ac:dyDescent="0.25">
      <c r="A621" s="3">
        <v>1997</v>
      </c>
      <c r="B621" s="3" t="s">
        <v>716</v>
      </c>
      <c r="C621" s="3" t="s">
        <v>7</v>
      </c>
      <c r="D621" s="3" t="s">
        <v>64</v>
      </c>
      <c r="E621" s="3" t="s">
        <v>203</v>
      </c>
      <c r="F621" s="3" t="s">
        <v>623</v>
      </c>
      <c r="G621" s="3"/>
      <c r="H621" s="12"/>
      <c r="I621" s="13"/>
      <c r="J621" s="10"/>
      <c r="K621" s="3"/>
      <c r="L621" s="3"/>
      <c r="M621" s="3"/>
      <c r="N621" s="3"/>
      <c r="O621" s="3"/>
      <c r="P621" s="3"/>
      <c r="Q621" s="3"/>
      <c r="R621" s="3"/>
      <c r="S621" s="3"/>
      <c r="T621" s="3"/>
      <c r="U621" s="3"/>
      <c r="V621" s="3"/>
      <c r="W621" s="10" t="str">
        <f>IF( J621="s.i", "s.i", IF(ISBLANK(J621),"Actualizando información",IFERROR(J621 / VLOOKUP(A621,Deflactor!$G$3:$H$64,2,0),"Revisar error" )))</f>
        <v>Actualizando información</v>
      </c>
    </row>
    <row r="622" spans="1:23" x14ac:dyDescent="0.25">
      <c r="A622" s="3">
        <v>1997</v>
      </c>
      <c r="B622" s="3" t="s">
        <v>717</v>
      </c>
      <c r="C622" s="3" t="s">
        <v>7</v>
      </c>
      <c r="D622" s="3" t="s">
        <v>32</v>
      </c>
      <c r="E622" s="3" t="s">
        <v>33</v>
      </c>
      <c r="F622" s="3" t="s">
        <v>623</v>
      </c>
      <c r="G622" s="3"/>
      <c r="H622" s="12"/>
      <c r="I622" s="13"/>
      <c r="J622" s="10"/>
      <c r="K622" s="3"/>
      <c r="L622" s="3"/>
      <c r="M622" s="3"/>
      <c r="N622" s="3"/>
      <c r="O622" s="3"/>
      <c r="P622" s="3"/>
      <c r="Q622" s="3"/>
      <c r="R622" s="3"/>
      <c r="S622" s="3"/>
      <c r="T622" s="3"/>
      <c r="U622" s="3"/>
      <c r="V622" s="3"/>
      <c r="W622" s="10" t="str">
        <f>IF( J622="s.i", "s.i", IF(ISBLANK(J622),"Actualizando información",IFERROR(J622 / VLOOKUP(A622,Deflactor!$G$3:$H$64,2,0),"Revisar error" )))</f>
        <v>Actualizando información</v>
      </c>
    </row>
  </sheetData>
  <autoFilter ref="A1:AV622" xr:uid="{79ADDE99-7AC2-4435-AF82-A5332998E550}"/>
  <phoneticPr fontId="18" type="noConversion"/>
  <hyperlinks>
    <hyperlink ref="R19" r:id="rId1" xr:uid="{8BE2D469-4FC3-404D-88F5-CAE5385B1926}"/>
    <hyperlink ref="S19" r:id="rId2" xr:uid="{2D50CD1D-E81D-4C2D-9F09-A7A27F6B16D1}"/>
    <hyperlink ref="R28" r:id="rId3" xr:uid="{341923EB-F8B8-4C95-B7AE-68509FA7D39E}"/>
    <hyperlink ref="S28" r:id="rId4" xr:uid="{01DD653A-31CC-4BA9-A746-B5CE15ED0063}"/>
    <hyperlink ref="R20" r:id="rId5" xr:uid="{2861B651-000E-429D-B868-F49DEC2212CD}"/>
    <hyperlink ref="S20" r:id="rId6" xr:uid="{F9DFD4F9-2B5E-460F-AB53-E64E42196CCD}"/>
    <hyperlink ref="R22" r:id="rId7" xr:uid="{F87218A3-9347-4483-B905-542D57F583F0}"/>
    <hyperlink ref="S22" r:id="rId8" xr:uid="{436B500F-8B4E-4C6A-8B32-08726191DCE0}"/>
    <hyperlink ref="T22" r:id="rId9" xr:uid="{85CA5F11-64FB-4DAB-8772-C5BC4D57872A}"/>
    <hyperlink ref="R23" r:id="rId10" xr:uid="{8E38D38B-F508-446E-BF14-2D6FEBB8A9B3}"/>
    <hyperlink ref="S23" r:id="rId11" xr:uid="{A39947EE-F457-4161-82D2-279E7AFA2834}"/>
    <hyperlink ref="R24" r:id="rId12" xr:uid="{19FD4344-730E-450C-A678-CF48FA90925D}"/>
    <hyperlink ref="S24" r:id="rId13" xr:uid="{522416D5-0EE8-4C02-A8C7-5C3CE5FA306B}"/>
    <hyperlink ref="R25" r:id="rId14" xr:uid="{55A9217D-0519-402E-B2F0-62C4EDB8C7E5}"/>
    <hyperlink ref="S25" r:id="rId15" xr:uid="{6BDDA874-5429-4054-AE5E-D929F7BDC091}"/>
    <hyperlink ref="T25" r:id="rId16" xr:uid="{A3D727D9-E905-44DB-B879-5DAB73A44CEF}"/>
    <hyperlink ref="R26" r:id="rId17" xr:uid="{6B06E0B2-9508-48FE-93A2-DA611B4EBB4C}"/>
    <hyperlink ref="S26" r:id="rId18" xr:uid="{D213E51B-7430-413A-8C85-F1B558E70F0B}"/>
    <hyperlink ref="R304" r:id="rId19" xr:uid="{74E8287E-9544-4ED4-9C76-33340E792470}"/>
    <hyperlink ref="S304" r:id="rId20" xr:uid="{352B4A07-BA28-4050-BBE4-1D071DE74A79}"/>
    <hyperlink ref="T304" r:id="rId21" xr:uid="{16AFFC03-1255-4725-B0AA-5A65405287CE}"/>
    <hyperlink ref="R305" r:id="rId22" xr:uid="{B31ADB39-EFFD-4E63-A9AA-45741900E167}"/>
    <hyperlink ref="S305" r:id="rId23" xr:uid="{E0B1FF2B-5906-46BA-82AE-47D8BE228B04}"/>
    <hyperlink ref="T305" r:id="rId24" xr:uid="{E19E8649-2465-4CC1-A760-6C30678BD1B6}"/>
    <hyperlink ref="R538" r:id="rId25" xr:uid="{48F0296A-3276-4B9E-89A6-BDF2BE29C7DE}"/>
    <hyperlink ref="S538" r:id="rId26" xr:uid="{504C0FC3-4049-4774-A9DA-EA0E4D06ABB2}"/>
    <hyperlink ref="R302" r:id="rId27" xr:uid="{F4C90C1B-0492-430D-83AF-FFFF1EEA257D}"/>
    <hyperlink ref="S302" r:id="rId28" xr:uid="{68CEC8CE-CBAF-43EE-A4D3-BE7A163F3E98}"/>
    <hyperlink ref="R27" r:id="rId29" xr:uid="{3FF68CB8-3CB6-4FE6-BEFC-B863F1057ABA}"/>
    <hyperlink ref="S27" r:id="rId30" xr:uid="{6A51C13A-3FC6-40F8-98A0-5D19835F1DF9}"/>
    <hyperlink ref="R29" r:id="rId31" xr:uid="{C4EDB22E-66F5-4664-8434-CB6E99F3A1F1}"/>
    <hyperlink ref="S29" r:id="rId32" xr:uid="{37C1DAF2-0C60-48D5-9F9E-2A24C55D5137}"/>
    <hyperlink ref="R30" r:id="rId33" xr:uid="{70186419-8852-4266-B625-C0215B761AD6}"/>
    <hyperlink ref="S30" r:id="rId34" xr:uid="{C8CFAFED-762C-4D41-BB5C-524E1344FC49}"/>
    <hyperlink ref="R281" r:id="rId35" xr:uid="{BD05ECA2-44FA-4BE8-BF34-4F9D5199ACB5}"/>
    <hyperlink ref="S281" r:id="rId36" xr:uid="{39FBDB66-059C-4E83-936A-2D36C394CBAC}"/>
    <hyperlink ref="T281" r:id="rId37" xr:uid="{B1EE039C-CCC5-4DEB-B06D-ECDE7A38AB31}"/>
    <hyperlink ref="R31" r:id="rId38" xr:uid="{4840EEBD-2753-4242-A002-58C5BE33C68F}"/>
    <hyperlink ref="S31" r:id="rId39" xr:uid="{BC992BBF-C0DC-4F08-B2F0-D78C1BC7DF5D}"/>
    <hyperlink ref="R32" r:id="rId40" xr:uid="{0700FB18-CCBB-4878-B443-0E7E5ABA4927}"/>
    <hyperlink ref="S32" r:id="rId41" xr:uid="{DBEF85D9-252C-4B3B-9E16-388F1CD12EF5}"/>
    <hyperlink ref="R33" r:id="rId42" xr:uid="{D4993B31-7A8E-42A8-887B-B59DC3A93556}"/>
    <hyperlink ref="S33" r:id="rId43" xr:uid="{65C4907E-DCDB-4402-8700-C2290FD93B01}"/>
    <hyperlink ref="R34" r:id="rId44" xr:uid="{89B307FB-40A1-4251-8AC0-CD94751594D9}"/>
    <hyperlink ref="S34" r:id="rId45" xr:uid="{5E0F8B59-7A69-4008-98DE-E940306C47F3}"/>
    <hyperlink ref="R57" r:id="rId46" xr:uid="{8EB1CAF2-0D9A-4B0F-BC96-FA8C88E2943F}"/>
    <hyperlink ref="S57" r:id="rId47" xr:uid="{A4A04E22-BBE1-40A2-AFBD-8FF42453ACB3}"/>
    <hyperlink ref="R64" r:id="rId48" xr:uid="{316FFB71-13D6-4204-AAC3-2800CC93493B}"/>
    <hyperlink ref="S64" r:id="rId49" xr:uid="{42936A94-6451-4C39-BBB2-88E20CEC25BD}"/>
    <hyperlink ref="T64" r:id="rId50" xr:uid="{02A3E0C4-C824-4DBE-9BC7-99FBF6D49312}"/>
    <hyperlink ref="R66" r:id="rId51" xr:uid="{98642495-AD43-4284-B5D9-B49B622C144D}"/>
    <hyperlink ref="S66" r:id="rId52" xr:uid="{3E298A68-C1DA-4004-85CE-369DFEE6AC33}"/>
    <hyperlink ref="T66" r:id="rId53" xr:uid="{A16111F7-5C6F-45B2-9A13-253BA9882580}"/>
    <hyperlink ref="R70" r:id="rId54" xr:uid="{00CB8034-D05D-41DC-A93A-DB3B46C174B9}"/>
    <hyperlink ref="S70" r:id="rId55" xr:uid="{8F84BDB1-4460-4683-9435-1DF99015D509}"/>
    <hyperlink ref="T70" r:id="rId56" xr:uid="{AEEB8D3A-E52C-4F2D-9ECB-C0BBC846F913}"/>
    <hyperlink ref="R71" r:id="rId57" xr:uid="{55C90AF0-F7C0-4271-B2A6-7CD6597581D9}"/>
    <hyperlink ref="S71" r:id="rId58" xr:uid="{FD29C2D5-ACE2-48D7-8EF4-FB5B152429E4}"/>
    <hyperlink ref="T71" r:id="rId59" xr:uid="{5A97E86B-7BB5-47FE-A746-036C768BED27}"/>
    <hyperlink ref="R73" r:id="rId60" xr:uid="{CE2C1D09-DF26-7C47-AD75-F0A9D2A3DA5E}"/>
    <hyperlink ref="S73" r:id="rId61" xr:uid="{A174FAAF-13EF-CE48-A2FD-B3AE50609A2C}"/>
    <hyperlink ref="T73" r:id="rId62" xr:uid="{27AE2C8C-0782-654B-A18F-3FE5FA6F0DDB}"/>
    <hyperlink ref="R58" r:id="rId63" xr:uid="{781B6E1B-132F-49A1-8E8A-97FA20E2DC7D}"/>
    <hyperlink ref="S58" r:id="rId64" xr:uid="{7786EB75-FC74-471C-9745-1ECCDEF0F79F}"/>
    <hyperlink ref="R59" r:id="rId65" xr:uid="{9EEE67CC-56DE-4435-BA96-FE9779F4156D}"/>
    <hyperlink ref="S59" r:id="rId66" xr:uid="{FD314378-581A-4184-9089-AB5873B100E8}"/>
    <hyperlink ref="T59" r:id="rId67" xr:uid="{F2CF29F0-4390-4CD1-AB04-20B9D7445A63}"/>
    <hyperlink ref="R60" r:id="rId68" xr:uid="{C718AA95-8F75-4CD3-ADDE-4724BF7ED99E}"/>
    <hyperlink ref="S60" r:id="rId69" xr:uid="{03DED38A-66E1-4067-8F1B-354A42FF140B}"/>
    <hyperlink ref="R61" r:id="rId70" xr:uid="{C4D52F09-F70D-4AF7-A6AE-D2B6ECC1A93D}"/>
    <hyperlink ref="S61" r:id="rId71" xr:uid="{D53AAC6D-08EC-48EE-88DC-A86F8B9574AC}"/>
    <hyperlink ref="T61" r:id="rId72" xr:uid="{4182BA24-00A2-4818-818A-97D40B6CCDFF}"/>
    <hyperlink ref="R62" r:id="rId73" xr:uid="{3184ED40-3A46-4E51-8863-2D8E5D3906DA}"/>
    <hyperlink ref="S62" r:id="rId74" xr:uid="{A922A6B2-C170-4FEE-BF86-0DA3F4AD142C}"/>
    <hyperlink ref="T62" r:id="rId75" xr:uid="{17495527-8221-4494-B16C-F0BBADE84D34}"/>
    <hyperlink ref="R63" r:id="rId76" xr:uid="{B93D49F6-E9B8-4E2C-B4FE-0D30801F0E72}"/>
    <hyperlink ref="S63" r:id="rId77" xr:uid="{0EA0D374-CD6E-4B24-891A-D2C80DAE7E24}"/>
    <hyperlink ref="T63" r:id="rId78" xr:uid="{88A59398-45F8-4DAC-AE93-E985DFA3C3B1}"/>
    <hyperlink ref="R65" r:id="rId79" xr:uid="{BB3E57AC-EE6C-49E9-92D2-AE679F0C30BD}"/>
    <hyperlink ref="S65" r:id="rId80" xr:uid="{8A73CA58-3805-4DF6-BA48-2F311CF989D7}"/>
    <hyperlink ref="T65" r:id="rId81" xr:uid="{39075977-FB2F-4874-B68C-5CE4622F6E99}"/>
    <hyperlink ref="R67" r:id="rId82" xr:uid="{EC02178E-1B9A-422B-80EA-07A6A37EBD63}"/>
    <hyperlink ref="S67" r:id="rId83" xr:uid="{E59F726D-707D-4A27-A705-C75637A727F7}"/>
    <hyperlink ref="T67" r:id="rId84" xr:uid="{2340C526-9A2F-4780-9BCE-9AAAA824780B}"/>
    <hyperlink ref="R68" r:id="rId85" xr:uid="{C294A10A-D117-40BC-B9AF-E036D8E49C93}"/>
    <hyperlink ref="S68" r:id="rId86" xr:uid="{E3D94DF0-935A-4B59-8B5D-631357E8375B}"/>
    <hyperlink ref="R69" r:id="rId87" xr:uid="{610E205C-72A6-AC40-8F82-F3CA6CF79DEF}"/>
    <hyperlink ref="S69" r:id="rId88" xr:uid="{EB637458-73D6-6842-96B1-2611BC8545DA}"/>
    <hyperlink ref="T69" r:id="rId89" xr:uid="{639DCC70-FB05-E340-A6E6-73742992A452}"/>
    <hyperlink ref="R76" r:id="rId90" xr:uid="{748DEB92-664C-4179-A75F-963333043046}"/>
    <hyperlink ref="S76" r:id="rId91" xr:uid="{01A3EB53-7706-4AA1-A600-0837AD5F6D99}"/>
    <hyperlink ref="T76" r:id="rId92" xr:uid="{311825ED-719C-46FF-9F12-4D6DB8179FB0}"/>
    <hyperlink ref="R72" r:id="rId93" xr:uid="{5B18D64A-BD9A-42C0-8198-874AFDE56C8F}"/>
    <hyperlink ref="S72" r:id="rId94" xr:uid="{D9297DFA-C7E6-4461-A1FC-002EA6489DBD}"/>
    <hyperlink ref="T72" r:id="rId95" xr:uid="{349B263E-4895-453B-8AE7-F0D6227A24AE}"/>
    <hyperlink ref="R74" r:id="rId96" xr:uid="{3D9F1915-A62C-45BF-A6FB-C9C3434C4FA5}"/>
    <hyperlink ref="S74" r:id="rId97" xr:uid="{4EFBEF02-3379-4FB5-B359-04F4A9744BFE}"/>
    <hyperlink ref="T74" r:id="rId98" xr:uid="{133691F7-3145-43E7-AFEC-580376A61395}"/>
    <hyperlink ref="R75" r:id="rId99" xr:uid="{8F4A974D-3CB7-436A-AE1C-7179508847CA}"/>
    <hyperlink ref="S75" r:id="rId100" xr:uid="{94ECD1BC-133F-4B26-843B-B4D3B0330B90}"/>
    <hyperlink ref="T75" r:id="rId101" xr:uid="{B620A354-976A-4C3D-A548-BD680D80C46D}"/>
    <hyperlink ref="R77" r:id="rId102" xr:uid="{47037CB6-070A-4007-8045-F5E7AED324DC}"/>
    <hyperlink ref="S77" r:id="rId103" xr:uid="{50CD371C-57E1-454C-AB0D-A5E4D505AF4A}"/>
    <hyperlink ref="T77" r:id="rId104" xr:uid="{04672036-F631-4C69-B58A-B119E844928F}"/>
    <hyperlink ref="R78" r:id="rId105" xr:uid="{A7191FCF-595A-475A-93DA-ECF851E9BB71}"/>
    <hyperlink ref="S78" r:id="rId106" xr:uid="{588E35C8-7175-4531-A252-1471A041BB7E}"/>
    <hyperlink ref="R79" r:id="rId107" xr:uid="{55DC656F-53CB-407E-9354-523CD90F1E90}"/>
    <hyperlink ref="S79" r:id="rId108" xr:uid="{BA9CB9A8-6DEA-49C1-958D-13788ADFA555}"/>
    <hyperlink ref="T79" r:id="rId109" xr:uid="{A62DD8EB-E41E-423D-B1A1-DCB5D1A79F4E}"/>
    <hyperlink ref="R80" r:id="rId110" xr:uid="{8D96D6B3-7AC4-416F-9D70-C3D4EF643B59}"/>
    <hyperlink ref="S80" r:id="rId111" xr:uid="{A79680C9-9F1E-4E1E-A301-D4D578CD33A3}"/>
    <hyperlink ref="T80" r:id="rId112" xr:uid="{803BFB6C-709D-43FD-B612-F9C39DBFA4B5}"/>
    <hyperlink ref="R81" r:id="rId113" xr:uid="{86047BB2-134F-42BA-99F9-BD9E3EDD4EA1}"/>
    <hyperlink ref="S81" r:id="rId114" xr:uid="{5FB41F79-6CF9-4205-901D-54FDF177ACEC}"/>
    <hyperlink ref="T81" r:id="rId115" xr:uid="{612F414F-C336-4E95-8B47-5DC725ACDB42}"/>
    <hyperlink ref="R2" r:id="rId116" xr:uid="{1E2F76AB-E96B-4223-9C0E-63A0878489CF}"/>
    <hyperlink ref="S2" r:id="rId117" xr:uid="{B14AA13A-6C2E-4C1C-ABD6-EEE1D93F4114}"/>
    <hyperlink ref="R42" r:id="rId118" xr:uid="{B284B7AD-110B-41BB-A489-049BA9A70340}"/>
    <hyperlink ref="R55" r:id="rId119" xr:uid="{C4D95AA3-66CB-4167-A494-5CF83E2394C4}"/>
    <hyperlink ref="R54" r:id="rId120" xr:uid="{BD819CAD-5353-4E93-A170-8CF67C106613}"/>
    <hyperlink ref="R142" r:id="rId121" xr:uid="{446A992E-CA4E-45EA-A3A5-EB15638B6D61}"/>
    <hyperlink ref="S142" r:id="rId122" xr:uid="{C27EFF25-DB3E-4491-9437-E4093C4D861B}"/>
    <hyperlink ref="T142" r:id="rId123" xr:uid="{F60F74B0-5AA2-4F8D-AB52-ED225055B16D}"/>
    <hyperlink ref="R132" r:id="rId124" xr:uid="{1A6F958A-4284-4565-AED4-AAF580B18DEF}"/>
    <hyperlink ref="S132" r:id="rId125" xr:uid="{885C6908-5714-4CA0-9A46-7F1D6355865F}"/>
    <hyperlink ref="S133" r:id="rId126" xr:uid="{5417A548-9F68-4515-AF76-8A70AB67C70B}"/>
    <hyperlink ref="R133" r:id="rId127" xr:uid="{1FD66A07-7C22-4B72-B19F-FA0EF4C93D8A}"/>
    <hyperlink ref="S127" r:id="rId128" xr:uid="{995A5535-A844-4B8E-8A01-A4B6DB22B420}"/>
    <hyperlink ref="R127" r:id="rId129" xr:uid="{50BB2792-02FB-4370-B5FB-A8F9F20C86DC}"/>
    <hyperlink ref="S128" r:id="rId130" xr:uid="{059F4606-6526-46B0-8F61-CF0FF8002853}"/>
    <hyperlink ref="S129" r:id="rId131" xr:uid="{DE651C3F-2BFE-4226-95E1-3CD727BECF6A}"/>
    <hyperlink ref="S130" r:id="rId132" xr:uid="{F9746929-74CD-4D5B-BD23-115B291AF23B}"/>
    <hyperlink ref="R128" r:id="rId133" xr:uid="{92ED383F-18C0-4E31-ABB0-AB848D14C159}"/>
    <hyperlink ref="R129" r:id="rId134" xr:uid="{376CD4FF-DB71-4764-8EBD-9A65430CEE16}"/>
    <hyperlink ref="R130" r:id="rId135" xr:uid="{B7A80D9B-6200-4D1C-8DE3-62E1C434A467}"/>
    <hyperlink ref="R264" r:id="rId136" xr:uid="{CEA395D3-CADC-4E0B-9C0C-AF9C7AAB6663}"/>
    <hyperlink ref="S264" r:id="rId137" xr:uid="{CA7C9DF0-6456-4B64-A457-049027988EBB}"/>
    <hyperlink ref="T264" r:id="rId138" xr:uid="{389C9C4F-5372-4FC2-9D9D-EE12CB6CC373}"/>
    <hyperlink ref="R3" r:id="rId139" xr:uid="{6CC86C21-AA49-49D1-B8B7-E7DEF7B1F417}"/>
    <hyperlink ref="S3" r:id="rId140" xr:uid="{2CC89AB0-CBC1-4721-88FC-7F90876B9DE1}"/>
    <hyperlink ref="R4" r:id="rId141" xr:uid="{699BB2FF-10FC-470B-B9BA-ABB2889D6D68}"/>
    <hyperlink ref="S4" r:id="rId142" xr:uid="{74DE245C-11D8-4838-BF79-3A837721F5AF}"/>
    <hyperlink ref="R5" r:id="rId143" xr:uid="{02946232-DE69-4E09-82D1-F9DC2182A10B}"/>
    <hyperlink ref="S5" r:id="rId144" xr:uid="{83D2A063-D064-4262-B5A0-2AEFC3211310}"/>
    <hyperlink ref="R6" r:id="rId145" xr:uid="{81DDE71F-8971-4756-A38F-3E008EA7BAFC}"/>
    <hyperlink ref="S6" r:id="rId146" xr:uid="{7F560737-9302-4E98-8A0D-6E2636E89E0D}"/>
    <hyperlink ref="R7" r:id="rId147" xr:uid="{74DD6D45-4B96-4B99-A176-A9E1BC0A25BA}"/>
    <hyperlink ref="S7" r:id="rId148" xr:uid="{1631B7C7-8A45-4A89-8CBE-8039DF25650E}"/>
    <hyperlink ref="R8" r:id="rId149" xr:uid="{C1EEF97D-4BF2-41E5-92C7-40263A7842E9}"/>
    <hyperlink ref="S8" r:id="rId150" xr:uid="{2551E993-F6AE-4095-BCD3-6C2C96E4CC7E}"/>
    <hyperlink ref="R9" r:id="rId151" xr:uid="{6A54A068-559A-4693-914C-CC65ECEEB72E}"/>
    <hyperlink ref="S9" r:id="rId152" xr:uid="{2829470B-1AF2-41DA-BF40-93C71623C82B}"/>
    <hyperlink ref="R10" r:id="rId153" xr:uid="{9068001C-B009-4B3E-8796-FE54663C21F0}"/>
    <hyperlink ref="S10" r:id="rId154" xr:uid="{ADBDE75C-7121-4459-8B77-4A93679D984F}"/>
    <hyperlink ref="R11" r:id="rId155" xr:uid="{95A598CC-15B5-4F48-9E90-64035B347800}"/>
    <hyperlink ref="S11" r:id="rId156" xr:uid="{E4284E1D-B962-4AEE-BCEC-90885A6D7A7A}"/>
    <hyperlink ref="R12" r:id="rId157" xr:uid="{E9DC9D32-D312-4E4B-BD2C-08931F61D514}"/>
    <hyperlink ref="S12" r:id="rId158" xr:uid="{0B14FB49-B5BF-4348-A1CE-E99E5E9B3A12}"/>
    <hyperlink ref="R13" r:id="rId159" xr:uid="{C2554C18-80BD-43DA-A97C-AA57735EEC80}"/>
    <hyperlink ref="S13" r:id="rId160" xr:uid="{7F12CF07-C9B6-4DBD-A0D2-23BD480F50BA}"/>
    <hyperlink ref="R14" r:id="rId161" xr:uid="{8FCF0A7B-CF3E-4E6D-A236-E53A312980D2}"/>
    <hyperlink ref="S14" r:id="rId162" xr:uid="{1CB8ED88-BA6F-4AFC-9BE7-53BA75C4481D}"/>
    <hyperlink ref="R15" r:id="rId163" xr:uid="{A8A1E943-CAF0-4430-A72E-4D586640410E}"/>
    <hyperlink ref="S15" r:id="rId164" xr:uid="{1456CDF7-A37B-4893-A664-94CFB73FECCB}"/>
    <hyperlink ref="R16" r:id="rId165" xr:uid="{1371EFB0-4E01-423B-992B-F246476BBAF6}"/>
    <hyperlink ref="S16" r:id="rId166" xr:uid="{552C2CCF-19B7-437D-A455-600CB41C5A26}"/>
    <hyperlink ref="S17" r:id="rId167" xr:uid="{953C38AB-5E28-4811-A7BE-8BD23A056998}"/>
    <hyperlink ref="R17" r:id="rId168" xr:uid="{6DCC6FA5-0154-4012-9CE2-CFE88356C31A}"/>
    <hyperlink ref="R18" r:id="rId169" xr:uid="{94D19477-B21B-489E-83EB-D74B66F5E7C4}"/>
    <hyperlink ref="S18" r:id="rId170" xr:uid="{58CCD9E6-1B16-43AF-B5C3-4D278FB8B1DD}"/>
    <hyperlink ref="R21" r:id="rId171" xr:uid="{B3028BC0-3763-4607-8E21-7A08DC182D8E}"/>
    <hyperlink ref="S21" r:id="rId172" xr:uid="{32AECCB7-4E63-4676-A828-E022FB9244A7}"/>
    <hyperlink ref="R107" r:id="rId173" xr:uid="{7D6AF44D-0A7D-41A0-B3A2-A4ADAA2AA23D}"/>
    <hyperlink ref="S107" r:id="rId174" xr:uid="{E94AAF3B-44A8-4733-A9C2-EE436C3EF405}"/>
    <hyperlink ref="R108" r:id="rId175" xr:uid="{81A8D106-4434-438B-A330-7621AC4507F1}"/>
    <hyperlink ref="S108" r:id="rId176" xr:uid="{97294DF5-5120-4BA2-8019-2914072A5336}"/>
    <hyperlink ref="T108" r:id="rId177" xr:uid="{1E978BE6-E38E-494D-BC79-04430AEAA8D1}"/>
    <hyperlink ref="R109" r:id="rId178" xr:uid="{CB1414D1-F1A7-4BDA-8926-37F602E3A5A1}"/>
    <hyperlink ref="S109" r:id="rId179" xr:uid="{F0F935A9-2975-401F-9778-26DE3F6F809F}"/>
    <hyperlink ref="R110" r:id="rId180" xr:uid="{3B9F30C2-1BF6-4082-A802-6A7ABC224BAE}"/>
    <hyperlink ref="S110" r:id="rId181" xr:uid="{94CB63DA-B9C2-409F-888F-8433D8388981}"/>
    <hyperlink ref="T110" r:id="rId182" xr:uid="{1BC2C4FC-196E-40DF-A3EF-AD7375FE99B1}"/>
    <hyperlink ref="R111" r:id="rId183" xr:uid="{DA773745-AA45-42C9-9232-94933B2D37C0}"/>
    <hyperlink ref="S111" r:id="rId184" xr:uid="{BA693A75-CF43-429E-AADE-5D4F33FE825B}"/>
    <hyperlink ref="T111" r:id="rId185" xr:uid="{C952378B-AEF7-4664-A3CE-9773674C2615}"/>
    <hyperlink ref="R112" r:id="rId186" xr:uid="{ACD6DB99-B078-4172-8673-4C0B94E0E0CA}"/>
    <hyperlink ref="S112" r:id="rId187" xr:uid="{88C42F0D-E582-4654-9852-51043E53E282}"/>
    <hyperlink ref="T112" r:id="rId188" xr:uid="{5C886AE8-6F7B-429E-8F1D-3E4111D4E8FE}"/>
    <hyperlink ref="R113" r:id="rId189" xr:uid="{131B87FD-30F4-4744-8C70-2169487C01A6}"/>
    <hyperlink ref="S113" r:id="rId190" xr:uid="{A820D600-F818-4B82-A660-DC0AA5FA3538}"/>
    <hyperlink ref="T113" r:id="rId191" xr:uid="{3208EB4D-1326-4906-B804-0F37615D9660}"/>
    <hyperlink ref="R114" r:id="rId192" xr:uid="{245ABCB1-899A-41CB-A135-D98B9F9545E3}"/>
    <hyperlink ref="S114" r:id="rId193" xr:uid="{76F3F07E-6BC3-4437-9CBA-4C55C701612B}"/>
    <hyperlink ref="T114" r:id="rId194" xr:uid="{779ECD13-D199-48BE-A16B-94CC3E3D60C0}"/>
    <hyperlink ref="R115" r:id="rId195" xr:uid="{FF2F0C4B-7AE2-4F25-9C2C-93B9EBAD0463}"/>
    <hyperlink ref="S115" r:id="rId196" xr:uid="{6ECA0E44-A1FE-4B3B-BFD6-707B8FC01CDD}"/>
    <hyperlink ref="T115" r:id="rId197" xr:uid="{AD3145CD-5DCF-46E2-9D36-C7F21958B8DD}"/>
    <hyperlink ref="R116" r:id="rId198" xr:uid="{58F91FD4-6F1A-4F18-9861-1BB56B005447}"/>
    <hyperlink ref="S116" r:id="rId199" xr:uid="{D54BDFA2-2FB2-4765-BBD2-6EEB0896B9B2}"/>
    <hyperlink ref="T116" r:id="rId200" xr:uid="{295BF9A5-E5CB-4DA6-9BE8-D6DEB386CAE1}"/>
    <hyperlink ref="R117" r:id="rId201" xr:uid="{599CA884-4E31-4C48-AF20-13DD6D3A90F0}"/>
    <hyperlink ref="S117" r:id="rId202" xr:uid="{053348B0-C95A-4745-AE3B-61ADCBE535A9}"/>
    <hyperlink ref="T117" r:id="rId203" xr:uid="{7E33A82B-FFE4-499C-AD75-AA577F48800F}"/>
    <hyperlink ref="R118" r:id="rId204" xr:uid="{620509BC-2C5B-4B9F-94C1-352873EEE1C4}"/>
    <hyperlink ref="S118" r:id="rId205" xr:uid="{A1C63946-021C-464C-9C17-B37351589336}"/>
    <hyperlink ref="T118" r:id="rId206" xr:uid="{D28C9365-6C7A-4079-B453-64795FBA1B4E}"/>
    <hyperlink ref="R119" r:id="rId207" xr:uid="{24C8CD14-21AF-439E-AD6D-BBC4CED041B4}"/>
    <hyperlink ref="S119" r:id="rId208" xr:uid="{AB9A6ACB-27AD-416E-8BA5-C07DFD026877}"/>
    <hyperlink ref="T119" r:id="rId209" xr:uid="{4D57E6E4-11A2-45B8-B7F7-E6C0341C5CDD}"/>
    <hyperlink ref="R120" r:id="rId210" xr:uid="{0580BC2C-83DA-4140-B5D8-F1E4F7C23363}"/>
    <hyperlink ref="S120" r:id="rId211" xr:uid="{0E3453F9-3C32-47B6-8EAC-73F84200EBB7}"/>
    <hyperlink ref="T120" r:id="rId212" xr:uid="{588A40CB-0B04-4FB3-B71D-53CBC3000C7E}"/>
    <hyperlink ref="R121" r:id="rId213" xr:uid="{6B6791C6-A0D1-44FE-8A68-E5BC43F062A7}"/>
    <hyperlink ref="S121" r:id="rId214" xr:uid="{DEC1DDE6-A953-4F4C-8397-A2E45449C06E}"/>
    <hyperlink ref="T121" r:id="rId215" xr:uid="{EA046130-B568-448C-8D47-A9F4BE863442}"/>
    <hyperlink ref="R122" r:id="rId216" xr:uid="{D027BEFB-FE9E-487F-BCEE-242FE62F522C}"/>
    <hyperlink ref="S122" r:id="rId217" xr:uid="{49F7AE6E-9972-4EC9-81F6-BA0E06911D01}"/>
    <hyperlink ref="T122" r:id="rId218" xr:uid="{B1118B8B-C681-4C9A-A63A-D122710386A7}"/>
    <hyperlink ref="R123" r:id="rId219" xr:uid="{EFE57ABA-AB65-4508-9B64-37F97BF1ADF5}"/>
    <hyperlink ref="S123" r:id="rId220" xr:uid="{2E7FD115-1F8A-4A3F-836E-C308B1AEC365}"/>
    <hyperlink ref="T123" r:id="rId221" xr:uid="{1E08A545-6595-4B9C-98CA-0C4584D40992}"/>
    <hyperlink ref="R124" r:id="rId222" xr:uid="{C88052D8-6E75-4818-9B2D-1F77F205072B}"/>
    <hyperlink ref="S124" r:id="rId223" xr:uid="{17DF2988-D25C-47C1-B42C-3A899AFC282C}"/>
    <hyperlink ref="T124" r:id="rId224" xr:uid="{820AC28E-455F-43FD-B396-42CC3300DEF5}"/>
    <hyperlink ref="R125" r:id="rId225" xr:uid="{814B17AC-77FE-412B-A432-2B5A747FA1F8}"/>
    <hyperlink ref="S125" r:id="rId226" xr:uid="{6B890876-7E20-4C6A-A960-81012C859881}"/>
    <hyperlink ref="T125" r:id="rId227" xr:uid="{CD4FC1C1-5573-4D92-B5A1-884CA4F755A7}"/>
    <hyperlink ref="R151" r:id="rId228" xr:uid="{174B4334-AE02-4D6B-84D2-DFB9DC12A6A7}"/>
    <hyperlink ref="S151" r:id="rId229" xr:uid="{7227EB3A-4848-48EE-816F-BF514E36C332}"/>
    <hyperlink ref="T151" r:id="rId230" xr:uid="{77A109EA-9830-4DD2-914B-2F4AC6FF0189}"/>
    <hyperlink ref="R152" r:id="rId231" xr:uid="{6F99F740-BDB0-4071-82D4-1E5858EEBC78}"/>
    <hyperlink ref="S152" r:id="rId232" xr:uid="{13C44763-EED8-46C0-ACE9-8D640EB33032}"/>
    <hyperlink ref="T152" r:id="rId233" xr:uid="{BD2AD651-3A0B-4209-813C-38334B2FD9BE}"/>
    <hyperlink ref="R153" r:id="rId234" xr:uid="{0178071D-43B9-450A-B5D9-16F899C14A6A}"/>
    <hyperlink ref="S153" r:id="rId235" xr:uid="{522AE1F4-D3BD-4AAA-A1A9-74023B0B6C1C}"/>
    <hyperlink ref="T153" r:id="rId236" xr:uid="{95A052BF-CF0C-4ECF-A0DA-61C90DF3A11C}"/>
    <hyperlink ref="R154" r:id="rId237" xr:uid="{20159B82-78A1-48AD-9591-34AAF4E1A9DD}"/>
    <hyperlink ref="S154" r:id="rId238" xr:uid="{EFBBB2C0-15F0-4F05-938C-C3A49B29DE13}"/>
    <hyperlink ref="T154" r:id="rId239" xr:uid="{70B64474-7BB7-4001-ACB4-6AC54FE0B1A0}"/>
    <hyperlink ref="R155" r:id="rId240" xr:uid="{72F3B232-C5DD-451D-83B9-E7A0FC149E1C}"/>
    <hyperlink ref="S155" r:id="rId241" xr:uid="{BC35AB09-89FB-4ABD-BC0C-23C455308855}"/>
    <hyperlink ref="R156" r:id="rId242" xr:uid="{67142010-BF6E-431A-8E76-0419EC3E9EA8}"/>
    <hyperlink ref="S156" r:id="rId243" xr:uid="{4F7811D2-E949-4781-92BB-34BE8AB7AAA9}"/>
    <hyperlink ref="T156" r:id="rId244" xr:uid="{B46E2DDD-7F23-48C6-BEB2-4C087042CEC0}"/>
    <hyperlink ref="R157" r:id="rId245" xr:uid="{786CB01A-95B4-43A7-9476-8C34E28E0E94}"/>
    <hyperlink ref="S157" r:id="rId246" xr:uid="{A9EF78D2-2308-4BC0-ADC7-54143D08BCFE}"/>
    <hyperlink ref="R158" r:id="rId247" xr:uid="{72C15004-E608-4C38-A41E-4D7DE4A2B2CE}"/>
    <hyperlink ref="S158" r:id="rId248" xr:uid="{1C687B6A-33F8-4075-8907-5CD21CDFAD0B}"/>
    <hyperlink ref="R159" r:id="rId249" xr:uid="{5FE43D87-F409-497A-8952-8B1CBA32D45E}"/>
    <hyperlink ref="S159" r:id="rId250" xr:uid="{DDDA5BDC-5661-4E1B-869C-4BF52546B47E}"/>
    <hyperlink ref="T159" r:id="rId251" xr:uid="{4CE292DA-B19A-45BB-A3AD-F152DBE5A89C}"/>
    <hyperlink ref="R160" r:id="rId252" xr:uid="{2E1E796C-33D7-437D-8453-CFFBD7EB4784}"/>
    <hyperlink ref="S160" r:id="rId253" xr:uid="{C292818D-553E-4427-9029-D8411C7B198D}"/>
    <hyperlink ref="T160" r:id="rId254" xr:uid="{9E92E91C-9C6E-4125-9C8B-5DAC532C15CD}"/>
    <hyperlink ref="R40" r:id="rId255" xr:uid="{97655AA0-11C5-4B76-A4F5-8D166A678FB0}"/>
    <hyperlink ref="S40" r:id="rId256" xr:uid="{65E10135-2FED-464A-8E47-0B20BFD36D2F}"/>
    <hyperlink ref="T40" r:id="rId257" xr:uid="{9F4A0831-DBC7-47B7-AF31-46024900AA8D}"/>
    <hyperlink ref="R161" r:id="rId258" xr:uid="{D34CCB19-F778-43CB-A332-385AB3F0B0F0}"/>
    <hyperlink ref="S161" r:id="rId259" xr:uid="{A906BC0A-BC26-4318-AE26-0CD567DAE913}"/>
    <hyperlink ref="R162" r:id="rId260" xr:uid="{78A79755-C370-4024-96CD-B5A7431A4D49}"/>
    <hyperlink ref="S162" r:id="rId261" xr:uid="{F4402886-0C9C-4BBD-BB51-0A2AF0FFB6C3}"/>
    <hyperlink ref="R163" r:id="rId262" xr:uid="{747BD38F-61D7-4407-B6B6-99535AF04052}"/>
    <hyperlink ref="S163" r:id="rId263" xr:uid="{2395C74A-0622-48F4-AC7B-536CFF94784B}"/>
    <hyperlink ref="R164" r:id="rId264" xr:uid="{23550021-9A46-48AD-B785-14F3D230020E}"/>
    <hyperlink ref="S164" r:id="rId265" xr:uid="{DCC3159F-51CB-4A38-B960-4FB4A98CF994}"/>
    <hyperlink ref="T164" r:id="rId266" xr:uid="{B23D106F-8A01-4400-8D2C-82562267F90D}"/>
    <hyperlink ref="R165" r:id="rId267" xr:uid="{DD3D83C0-4DE2-42C5-99B3-5C18D7330748}"/>
    <hyperlink ref="S165" r:id="rId268" xr:uid="{A0B77376-5E59-40C8-93AA-52A50AE2F106}"/>
    <hyperlink ref="R166" r:id="rId269" xr:uid="{13E9F9EE-0372-49D2-8F55-9FF9099D8D41}"/>
    <hyperlink ref="S166" r:id="rId270" xr:uid="{B88080F7-EA4A-49BD-8CBE-E9170671C129}"/>
    <hyperlink ref="R167" r:id="rId271" xr:uid="{82F4DFDB-353A-442A-9193-1AE82E84BCFA}"/>
    <hyperlink ref="S167" r:id="rId272" xr:uid="{A9A0FCE5-F73A-4A6D-AF9A-6067A3E574E8}"/>
    <hyperlink ref="R168" r:id="rId273" xr:uid="{106D9E4F-F671-419E-8BCB-DE47AF402DE1}"/>
    <hyperlink ref="S168" r:id="rId274" xr:uid="{D644C763-4707-44F5-8EC6-CBFE04F92827}"/>
    <hyperlink ref="T168" r:id="rId275" xr:uid="{F2935583-EE92-48EB-82B5-C93504514DBD}"/>
    <hyperlink ref="R169" r:id="rId276" xr:uid="{6FD02C58-3C69-403E-9D00-5E46E816D8FA}"/>
    <hyperlink ref="S169" r:id="rId277" xr:uid="{6355C2CB-4CE2-4223-8A55-F0BCF16E43E1}"/>
    <hyperlink ref="R170" r:id="rId278" xr:uid="{B855D6A6-1577-4498-9BED-BCA1214D4BC6}"/>
    <hyperlink ref="S170" r:id="rId279" xr:uid="{D4B0E3D0-AE1A-4133-8E96-DEEF665D1ECF}"/>
    <hyperlink ref="T170" r:id="rId280" xr:uid="{4A4629B5-D8E7-46CE-829E-B890C7F81D9B}"/>
    <hyperlink ref="R171" r:id="rId281" xr:uid="{3BA50AB5-0B3C-44D4-BF5C-F426EC5F4371}"/>
    <hyperlink ref="S171" r:id="rId282" xr:uid="{DD7174C8-06A3-4839-B636-900980B46175}"/>
    <hyperlink ref="R172" r:id="rId283" xr:uid="{FDD16CA9-0485-4139-B565-C3025DFBB594}"/>
    <hyperlink ref="S172" r:id="rId284" xr:uid="{66F56CB4-D5A5-44BB-918B-059D9E4EC119}"/>
    <hyperlink ref="R173" r:id="rId285" xr:uid="{AC4FC094-877B-4577-A981-52B7B7B571D5}"/>
    <hyperlink ref="S173" r:id="rId286" xr:uid="{1111EAE8-BD32-430E-8501-8E1759671D3A}"/>
    <hyperlink ref="R174" r:id="rId287" xr:uid="{8D259F51-2917-4AD8-BA1F-B467678BD224}"/>
    <hyperlink ref="S174" r:id="rId288" xr:uid="{DF6856CF-FC43-409A-AC30-473A41DE1809}"/>
    <hyperlink ref="T174" r:id="rId289" xr:uid="{CB62BFA3-E4A2-4670-A0ED-EC571D0D9FDE}"/>
  </hyperlinks>
  <pageMargins left="0.7" right="0.7" top="0.75" bottom="0.75" header="0.3" footer="0.3"/>
  <pageSetup paperSize="9" orientation="portrait" horizontalDpi="300" verticalDpi="300" r:id="rId290"/>
  <ignoredErrors>
    <ignoredError sqref="J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B875-E6D6-4D0A-835E-1820C0AF6875}">
  <dimension ref="A1:V67"/>
  <sheetViews>
    <sheetView workbookViewId="0"/>
  </sheetViews>
  <sheetFormatPr baseColWidth="10" defaultColWidth="10.7109375" defaultRowHeight="15" x14ac:dyDescent="0.25"/>
  <cols>
    <col min="1" max="1" width="10.140625" bestFit="1" customWidth="1"/>
    <col min="3" max="3" width="12.140625" bestFit="1" customWidth="1"/>
    <col min="4" max="4" width="14.28515625" customWidth="1"/>
    <col min="5" max="5" width="14.140625" customWidth="1"/>
    <col min="13" max="13" width="11.42578125" style="35"/>
    <col min="15" max="15" width="42.85546875" bestFit="1" customWidth="1"/>
    <col min="16" max="16" width="26.5703125" customWidth="1"/>
    <col min="17" max="17" width="22" bestFit="1" customWidth="1"/>
    <col min="19" max="19" width="22" bestFit="1" customWidth="1"/>
    <col min="20" max="20" width="15.5703125" bestFit="1" customWidth="1"/>
  </cols>
  <sheetData>
    <row r="1" spans="1:22" x14ac:dyDescent="0.25">
      <c r="A1" t="s">
        <v>2331</v>
      </c>
      <c r="B1" t="s">
        <v>2324</v>
      </c>
      <c r="C1" t="s">
        <v>2325</v>
      </c>
      <c r="D1" t="s">
        <v>2326</v>
      </c>
      <c r="E1" t="s">
        <v>2327</v>
      </c>
      <c r="F1" t="s">
        <v>2328</v>
      </c>
      <c r="N1" t="s">
        <v>2325</v>
      </c>
      <c r="O1" t="s">
        <v>2330</v>
      </c>
    </row>
    <row r="2" spans="1:22" x14ac:dyDescent="0.25">
      <c r="A2">
        <v>1</v>
      </c>
      <c r="B2" s="38">
        <v>44152</v>
      </c>
      <c r="C2" t="s">
        <v>2319</v>
      </c>
      <c r="D2" t="s">
        <v>2320</v>
      </c>
      <c r="E2" t="s">
        <v>2321</v>
      </c>
      <c r="F2" t="s">
        <v>2329</v>
      </c>
      <c r="N2" t="s">
        <v>2332</v>
      </c>
      <c r="O2" t="s">
        <v>0</v>
      </c>
      <c r="P2" t="s">
        <v>1</v>
      </c>
      <c r="Q2" t="s">
        <v>3</v>
      </c>
      <c r="R2" t="s">
        <v>4</v>
      </c>
      <c r="S2" t="s">
        <v>719</v>
      </c>
      <c r="T2" t="s">
        <v>2334</v>
      </c>
      <c r="U2" t="s">
        <v>2335</v>
      </c>
      <c r="V2" t="s">
        <v>2336</v>
      </c>
    </row>
    <row r="3" spans="1:22" x14ac:dyDescent="0.25">
      <c r="A3">
        <v>2</v>
      </c>
      <c r="B3" s="38">
        <v>44152</v>
      </c>
      <c r="C3" t="s">
        <v>2322</v>
      </c>
      <c r="G3" s="4" t="s">
        <v>2399</v>
      </c>
      <c r="O3">
        <v>2017</v>
      </c>
      <c r="P3" t="s">
        <v>86</v>
      </c>
      <c r="Q3" t="s">
        <v>87</v>
      </c>
      <c r="R3" t="s">
        <v>88</v>
      </c>
      <c r="S3" s="2">
        <v>13058655000000</v>
      </c>
      <c r="T3" s="2">
        <f xml:space="preserve"> 11725662 * 1000</f>
        <v>11725662000</v>
      </c>
      <c r="U3" s="4" t="s">
        <v>2333</v>
      </c>
      <c r="V3" s="4" t="s">
        <v>2337</v>
      </c>
    </row>
    <row r="4" spans="1:22" x14ac:dyDescent="0.25">
      <c r="A4">
        <v>3</v>
      </c>
      <c r="B4" s="38">
        <v>44152</v>
      </c>
      <c r="D4" t="s">
        <v>2323</v>
      </c>
      <c r="O4">
        <v>2017</v>
      </c>
      <c r="P4" t="s">
        <v>99</v>
      </c>
      <c r="Q4" t="s">
        <v>36</v>
      </c>
      <c r="R4" t="s">
        <v>81</v>
      </c>
      <c r="S4" s="2">
        <v>27041864000000</v>
      </c>
      <c r="T4" s="39">
        <f xml:space="preserve"> 26854830 * 1000</f>
        <v>26854830000</v>
      </c>
      <c r="U4" s="4" t="s">
        <v>2339</v>
      </c>
      <c r="V4" s="4" t="s">
        <v>2338</v>
      </c>
    </row>
    <row r="5" spans="1:22" x14ac:dyDescent="0.25">
      <c r="O5">
        <v>2017</v>
      </c>
      <c r="P5" t="s">
        <v>100</v>
      </c>
      <c r="Q5" t="s">
        <v>87</v>
      </c>
      <c r="R5" t="s">
        <v>88</v>
      </c>
      <c r="S5" s="2">
        <v>20334675000000</v>
      </c>
      <c r="T5" s="39">
        <f xml:space="preserve"> 19446013 * 1000</f>
        <v>19446013000</v>
      </c>
      <c r="U5" s="4" t="s">
        <v>2341</v>
      </c>
      <c r="V5" s="4" t="s">
        <v>2340</v>
      </c>
    </row>
    <row r="6" spans="1:22" x14ac:dyDescent="0.25">
      <c r="O6">
        <v>2017</v>
      </c>
      <c r="P6" t="s">
        <v>113</v>
      </c>
      <c r="Q6" t="s">
        <v>54</v>
      </c>
      <c r="R6" t="s">
        <v>55</v>
      </c>
      <c r="S6" s="2">
        <v>17015612000000</v>
      </c>
      <c r="T6" s="39">
        <f xml:space="preserve"> 3679767 * 1000</f>
        <v>3679767000</v>
      </c>
      <c r="U6" s="4" t="s">
        <v>2343</v>
      </c>
      <c r="V6" s="4" t="s">
        <v>2346</v>
      </c>
    </row>
    <row r="7" spans="1:22" x14ac:dyDescent="0.25">
      <c r="O7">
        <v>2017</v>
      </c>
      <c r="P7" t="s">
        <v>114</v>
      </c>
      <c r="Q7" t="s">
        <v>54</v>
      </c>
      <c r="R7" t="s">
        <v>55</v>
      </c>
      <c r="S7" s="2">
        <v>26622592000000</v>
      </c>
      <c r="T7" s="39">
        <f xml:space="preserve"> 17640975 * 1000</f>
        <v>17640975000</v>
      </c>
      <c r="U7" s="4" t="s">
        <v>2339</v>
      </c>
      <c r="V7" s="4" t="s">
        <v>2342</v>
      </c>
    </row>
    <row r="8" spans="1:22" x14ac:dyDescent="0.25">
      <c r="O8">
        <v>2017</v>
      </c>
      <c r="P8" t="s">
        <v>116</v>
      </c>
      <c r="Q8" t="s">
        <v>25</v>
      </c>
      <c r="R8" t="s">
        <v>117</v>
      </c>
      <c r="S8" s="40">
        <v>38171814000000</v>
      </c>
      <c r="T8" s="85">
        <f xml:space="preserve"> 40684039 * 1000</f>
        <v>40684039000</v>
      </c>
      <c r="U8" s="86" t="s">
        <v>2333</v>
      </c>
      <c r="V8" s="86" t="s">
        <v>2344</v>
      </c>
    </row>
    <row r="9" spans="1:22" x14ac:dyDescent="0.25">
      <c r="O9">
        <v>2017</v>
      </c>
      <c r="P9" t="s">
        <v>118</v>
      </c>
      <c r="Q9" t="s">
        <v>25</v>
      </c>
      <c r="R9" t="s">
        <v>117</v>
      </c>
      <c r="S9" s="40">
        <v>38171814000000</v>
      </c>
      <c r="T9" s="85"/>
      <c r="U9" s="86"/>
      <c r="V9" s="86"/>
    </row>
    <row r="10" spans="1:22" x14ac:dyDescent="0.25">
      <c r="O10">
        <v>2016</v>
      </c>
      <c r="P10" t="s">
        <v>143</v>
      </c>
      <c r="Q10" t="s">
        <v>12</v>
      </c>
      <c r="R10" t="s">
        <v>105</v>
      </c>
      <c r="S10" s="40">
        <v>4899869000000000</v>
      </c>
      <c r="T10" s="39">
        <f xml:space="preserve"> 4899869  * 1000</f>
        <v>4899869000</v>
      </c>
      <c r="U10" s="4" t="s">
        <v>2339</v>
      </c>
      <c r="V10" s="4" t="s">
        <v>2347</v>
      </c>
    </row>
    <row r="11" spans="1:22" x14ac:dyDescent="0.25">
      <c r="O11">
        <v>2015</v>
      </c>
      <c r="P11" t="s">
        <v>180</v>
      </c>
      <c r="Q11" t="s">
        <v>25</v>
      </c>
      <c r="R11" t="s">
        <v>181</v>
      </c>
      <c r="S11" s="2">
        <v>17169605000000</v>
      </c>
      <c r="T11" s="39">
        <f xml:space="preserve"> 15439654  * 1000</f>
        <v>15439654000</v>
      </c>
      <c r="U11" s="4" t="s">
        <v>2333</v>
      </c>
      <c r="V11" s="4" t="s">
        <v>2348</v>
      </c>
    </row>
    <row r="12" spans="1:22" x14ac:dyDescent="0.25">
      <c r="O12">
        <v>2015</v>
      </c>
      <c r="P12" t="s">
        <v>185</v>
      </c>
      <c r="Q12" t="s">
        <v>36</v>
      </c>
      <c r="R12" t="s">
        <v>98</v>
      </c>
      <c r="S12" s="2">
        <v>293866943000000</v>
      </c>
      <c r="T12" s="39">
        <f xml:space="preserve"> 253201137  * 1000</f>
        <v>253201137000</v>
      </c>
      <c r="U12" s="4" t="s">
        <v>2341</v>
      </c>
      <c r="V12" s="4" t="s">
        <v>2349</v>
      </c>
    </row>
    <row r="13" spans="1:22" x14ac:dyDescent="0.25">
      <c r="O13">
        <v>2014</v>
      </c>
      <c r="P13" t="s">
        <v>192</v>
      </c>
      <c r="Q13" t="s">
        <v>36</v>
      </c>
      <c r="R13" t="s">
        <v>37</v>
      </c>
      <c r="S13" s="2">
        <v>27310036000000</v>
      </c>
      <c r="T13" s="39">
        <f xml:space="preserve"> 26852009 * 1000</f>
        <v>26852009000</v>
      </c>
      <c r="U13" s="4" t="s">
        <v>2333</v>
      </c>
      <c r="V13" s="4" t="s">
        <v>2350</v>
      </c>
    </row>
    <row r="14" spans="1:22" x14ac:dyDescent="0.25">
      <c r="O14">
        <v>2014</v>
      </c>
      <c r="P14" t="s">
        <v>198</v>
      </c>
      <c r="Q14" t="s">
        <v>54</v>
      </c>
      <c r="R14" t="s">
        <v>55</v>
      </c>
      <c r="S14" s="2">
        <v>46130757000000</v>
      </c>
      <c r="T14" s="39">
        <f xml:space="preserve"> 44468210 * 1000</f>
        <v>44468210000</v>
      </c>
      <c r="U14" s="4" t="s">
        <v>2351</v>
      </c>
    </row>
    <row r="15" spans="1:22" x14ac:dyDescent="0.25">
      <c r="O15">
        <v>2014</v>
      </c>
      <c r="P15" t="s">
        <v>199</v>
      </c>
      <c r="Q15" t="s">
        <v>32</v>
      </c>
      <c r="R15" t="s">
        <v>33</v>
      </c>
      <c r="S15" s="40">
        <v>215848343000000</v>
      </c>
      <c r="T15" t="s">
        <v>2345</v>
      </c>
      <c r="U15" s="4"/>
    </row>
    <row r="16" spans="1:22" x14ac:dyDescent="0.25">
      <c r="O16">
        <v>2012</v>
      </c>
      <c r="P16" t="s">
        <v>249</v>
      </c>
      <c r="Q16" t="s">
        <v>20</v>
      </c>
      <c r="R16" t="s">
        <v>23</v>
      </c>
      <c r="S16" s="40">
        <v>3.5827751E+16</v>
      </c>
      <c r="T16" t="s">
        <v>2345</v>
      </c>
      <c r="U16" s="4"/>
    </row>
    <row r="17" spans="14:22" x14ac:dyDescent="0.25">
      <c r="O17">
        <v>2012</v>
      </c>
      <c r="P17" t="s">
        <v>261</v>
      </c>
      <c r="Q17" t="s">
        <v>64</v>
      </c>
      <c r="R17" t="s">
        <v>262</v>
      </c>
      <c r="S17" s="2">
        <v>1713932000000000</v>
      </c>
      <c r="T17" s="39">
        <f xml:space="preserve"> 1420550 * 1000</f>
        <v>1420550000</v>
      </c>
      <c r="U17" s="4" t="s">
        <v>2333</v>
      </c>
      <c r="V17" s="4" t="s">
        <v>2352</v>
      </c>
    </row>
    <row r="18" spans="14:22" x14ac:dyDescent="0.25">
      <c r="O18">
        <v>2010</v>
      </c>
      <c r="P18" t="s">
        <v>311</v>
      </c>
      <c r="Q18" t="s">
        <v>36</v>
      </c>
      <c r="R18" t="s">
        <v>37</v>
      </c>
      <c r="S18" s="40">
        <v>141370509000000</v>
      </c>
      <c r="T18" t="s">
        <v>2345</v>
      </c>
      <c r="U18" s="4"/>
    </row>
    <row r="20" spans="14:22" x14ac:dyDescent="0.25">
      <c r="N20" t="s">
        <v>2353</v>
      </c>
      <c r="O20" t="s">
        <v>2355</v>
      </c>
      <c r="P20" s="4" t="s">
        <v>2354</v>
      </c>
      <c r="Q20" t="s">
        <v>2356</v>
      </c>
    </row>
    <row r="23" spans="14:22" x14ac:dyDescent="0.25">
      <c r="N23" t="s">
        <v>2362</v>
      </c>
      <c r="O23" t="s">
        <v>0</v>
      </c>
      <c r="P23" t="s">
        <v>1</v>
      </c>
      <c r="Q23" t="s">
        <v>3</v>
      </c>
      <c r="R23" t="s">
        <v>4</v>
      </c>
      <c r="S23" t="s">
        <v>719</v>
      </c>
      <c r="T23" t="s">
        <v>2334</v>
      </c>
      <c r="U23" t="s">
        <v>2335</v>
      </c>
      <c r="V23" t="s">
        <v>2336</v>
      </c>
    </row>
    <row r="24" spans="14:22" x14ac:dyDescent="0.25">
      <c r="O24">
        <v>2020</v>
      </c>
      <c r="P24" t="s">
        <v>1298</v>
      </c>
      <c r="Q24" t="s">
        <v>20</v>
      </c>
      <c r="R24" t="s">
        <v>23</v>
      </c>
      <c r="S24" s="2">
        <f xml:space="preserve">  6572.5 * 1000000</f>
        <v>6572500000</v>
      </c>
      <c r="T24" s="2">
        <f xml:space="preserve">  6386405 * 1000</f>
        <v>6386405000</v>
      </c>
      <c r="U24" s="4" t="s">
        <v>2339</v>
      </c>
      <c r="V24" s="4" t="s">
        <v>2363</v>
      </c>
    </row>
    <row r="25" spans="14:22" x14ac:dyDescent="0.25">
      <c r="O25" s="35">
        <v>2020</v>
      </c>
      <c r="P25" s="35" t="s">
        <v>1304</v>
      </c>
      <c r="Q25" s="35" t="s">
        <v>54</v>
      </c>
      <c r="R25" s="35" t="s">
        <v>55</v>
      </c>
      <c r="S25" s="44">
        <f xml:space="preserve"> 14064 * 1000000</f>
        <v>14064000000</v>
      </c>
      <c r="T25" s="43" t="s">
        <v>623</v>
      </c>
      <c r="U25" s="45" t="s">
        <v>2339</v>
      </c>
      <c r="V25" s="45" t="s">
        <v>2364</v>
      </c>
    </row>
    <row r="26" spans="14:22" x14ac:dyDescent="0.25">
      <c r="O26">
        <v>2020</v>
      </c>
      <c r="P26" t="s">
        <v>1309</v>
      </c>
      <c r="Q26" t="s">
        <v>54</v>
      </c>
      <c r="R26" t="s">
        <v>55</v>
      </c>
      <c r="S26" s="2" t="s">
        <v>623</v>
      </c>
      <c r="T26" s="2">
        <f xml:space="preserve">  10390 * 1000000</f>
        <v>10390000000</v>
      </c>
      <c r="U26" s="4" t="s">
        <v>2339</v>
      </c>
      <c r="V26" s="4" t="s">
        <v>2365</v>
      </c>
    </row>
    <row r="27" spans="14:22" x14ac:dyDescent="0.25">
      <c r="O27">
        <v>2019</v>
      </c>
      <c r="P27" t="s">
        <v>31</v>
      </c>
      <c r="Q27" t="s">
        <v>32</v>
      </c>
      <c r="R27" t="s">
        <v>33</v>
      </c>
      <c r="S27" s="2">
        <v>50263613</v>
      </c>
      <c r="T27" s="2">
        <f xml:space="preserve">  16715 * 1000000</f>
        <v>16715000000</v>
      </c>
      <c r="U27" s="4" t="s">
        <v>2339</v>
      </c>
      <c r="V27" s="4" t="s">
        <v>2366</v>
      </c>
    </row>
    <row r="28" spans="14:22" x14ac:dyDescent="0.25">
      <c r="O28">
        <v>2019</v>
      </c>
      <c r="P28" t="s">
        <v>42</v>
      </c>
      <c r="Q28" t="s">
        <v>40</v>
      </c>
      <c r="R28" t="s">
        <v>43</v>
      </c>
      <c r="S28" s="2">
        <f xml:space="preserve"> 6224 * 1000000</f>
        <v>6224000000</v>
      </c>
      <c r="T28" s="39" t="s">
        <v>623</v>
      </c>
    </row>
    <row r="29" spans="14:22" x14ac:dyDescent="0.25">
      <c r="O29">
        <v>2018</v>
      </c>
      <c r="P29" t="s">
        <v>52</v>
      </c>
      <c r="Q29" t="s">
        <v>20</v>
      </c>
      <c r="R29" t="s">
        <v>23</v>
      </c>
      <c r="S29" s="2">
        <f xml:space="preserve"> 9622.8 * 1000000</f>
        <v>9622800000</v>
      </c>
      <c r="T29" s="2">
        <f xml:space="preserve">  8218 * 1000000</f>
        <v>8218000000</v>
      </c>
      <c r="U29" s="4" t="s">
        <v>2339</v>
      </c>
      <c r="V29" s="4" t="s">
        <v>2382</v>
      </c>
    </row>
    <row r="30" spans="14:22" x14ac:dyDescent="0.25">
      <c r="O30">
        <v>2018</v>
      </c>
      <c r="P30" t="s">
        <v>53</v>
      </c>
      <c r="Q30" t="s">
        <v>54</v>
      </c>
      <c r="R30" t="s">
        <v>55</v>
      </c>
      <c r="S30" s="2">
        <f xml:space="preserve"> 40949 * 1000000</f>
        <v>40949000000</v>
      </c>
      <c r="T30" s="2">
        <f xml:space="preserve">  37370 * 1000000</f>
        <v>37370000000</v>
      </c>
      <c r="U30" s="4" t="s">
        <v>2339</v>
      </c>
      <c r="V30" s="4" t="s">
        <v>2367</v>
      </c>
    </row>
    <row r="31" spans="14:22" x14ac:dyDescent="0.25">
      <c r="O31">
        <v>2018</v>
      </c>
      <c r="P31" t="s">
        <v>56</v>
      </c>
      <c r="Q31" t="s">
        <v>54</v>
      </c>
      <c r="R31" t="s">
        <v>55</v>
      </c>
      <c r="S31" s="2">
        <f xml:space="preserve"> 143807 * 1000000</f>
        <v>143807000000</v>
      </c>
      <c r="T31" s="2">
        <f xml:space="preserve"> 142181835 * 1000</f>
        <v>142181835000</v>
      </c>
      <c r="U31" s="4" t="s">
        <v>2341</v>
      </c>
      <c r="V31" s="4" t="s">
        <v>2368</v>
      </c>
    </row>
    <row r="32" spans="14:22" x14ac:dyDescent="0.25">
      <c r="O32">
        <v>2018</v>
      </c>
      <c r="P32" t="s">
        <v>57</v>
      </c>
      <c r="Q32" t="s">
        <v>12</v>
      </c>
      <c r="R32" t="s">
        <v>58</v>
      </c>
      <c r="S32" s="2">
        <v>7036128</v>
      </c>
      <c r="T32" s="2">
        <f xml:space="preserve"> 3000416 * 1000</f>
        <v>3000416000</v>
      </c>
      <c r="U32" s="4" t="s">
        <v>2339</v>
      </c>
      <c r="V32" s="4" t="s">
        <v>2369</v>
      </c>
    </row>
    <row r="33" spans="15:22" x14ac:dyDescent="0.25">
      <c r="O33">
        <v>2018</v>
      </c>
      <c r="P33" t="s">
        <v>59</v>
      </c>
      <c r="Q33" t="s">
        <v>12</v>
      </c>
      <c r="R33" t="s">
        <v>58</v>
      </c>
      <c r="S33" s="2">
        <v>7036128</v>
      </c>
      <c r="T33" s="2">
        <f xml:space="preserve"> 821167 * 1000</f>
        <v>821167000</v>
      </c>
      <c r="U33" s="4" t="s">
        <v>2339</v>
      </c>
      <c r="V33" s="4" t="s">
        <v>2373</v>
      </c>
    </row>
    <row r="34" spans="15:22" x14ac:dyDescent="0.25">
      <c r="O34">
        <v>2018</v>
      </c>
      <c r="P34" t="s">
        <v>70</v>
      </c>
      <c r="Q34" t="s">
        <v>71</v>
      </c>
      <c r="R34" t="s">
        <v>72</v>
      </c>
      <c r="S34" s="2">
        <f xml:space="preserve"> 61757322 * 1000</f>
        <v>61757322000</v>
      </c>
      <c r="T34" s="2">
        <f xml:space="preserve"> 54296263 * 1000</f>
        <v>54296263000</v>
      </c>
      <c r="U34" s="4" t="s">
        <v>2375</v>
      </c>
      <c r="V34" s="4" t="s">
        <v>2374</v>
      </c>
    </row>
    <row r="35" spans="15:22" x14ac:dyDescent="0.25">
      <c r="O35">
        <v>2018</v>
      </c>
      <c r="P35" t="s">
        <v>73</v>
      </c>
      <c r="Q35" t="s">
        <v>74</v>
      </c>
      <c r="R35" t="s">
        <v>75</v>
      </c>
      <c r="S35" s="2">
        <f xml:space="preserve"> 9599944 * 1000</f>
        <v>9599944000</v>
      </c>
      <c r="T35" s="39" t="s">
        <v>623</v>
      </c>
    </row>
    <row r="36" spans="15:22" x14ac:dyDescent="0.25">
      <c r="O36">
        <v>2018</v>
      </c>
      <c r="P36" t="s">
        <v>80</v>
      </c>
      <c r="Q36" t="s">
        <v>36</v>
      </c>
      <c r="R36" t="s">
        <v>81</v>
      </c>
      <c r="S36" s="2">
        <f xml:space="preserve"> 1263672 * 1000</f>
        <v>1263672000</v>
      </c>
      <c r="T36" s="2">
        <f xml:space="preserve"> 1263672 * 1000</f>
        <v>1263672000</v>
      </c>
      <c r="U36" s="4" t="s">
        <v>2339</v>
      </c>
      <c r="V36" s="4" t="s">
        <v>2376</v>
      </c>
    </row>
    <row r="37" spans="15:22" x14ac:dyDescent="0.25">
      <c r="O37">
        <v>2017</v>
      </c>
      <c r="P37" t="s">
        <v>112</v>
      </c>
      <c r="Q37" t="s">
        <v>54</v>
      </c>
      <c r="R37" t="s">
        <v>55</v>
      </c>
      <c r="S37" s="2">
        <f xml:space="preserve"> 3679766 * 1000000</f>
        <v>3679766000000</v>
      </c>
      <c r="T37" s="39">
        <f xml:space="preserve"> 3679767 * 1000</f>
        <v>3679767000</v>
      </c>
      <c r="U37" s="4" t="s">
        <v>2339</v>
      </c>
      <c r="V37" s="4" t="s">
        <v>2346</v>
      </c>
    </row>
    <row r="38" spans="15:22" x14ac:dyDescent="0.25">
      <c r="O38">
        <v>2017</v>
      </c>
      <c r="P38" t="s">
        <v>113</v>
      </c>
      <c r="Q38" t="s">
        <v>54</v>
      </c>
      <c r="R38" t="s">
        <v>55</v>
      </c>
      <c r="S38" s="2">
        <f xml:space="preserve"> 17015612 * 1000000</f>
        <v>17015612000000</v>
      </c>
      <c r="T38" s="39">
        <f t="shared" ref="T38:V39" si="0">T6</f>
        <v>3679767000</v>
      </c>
      <c r="U38" s="4" t="str">
        <f t="shared" si="0"/>
        <v>https://programassociales.ministeriodesarrollosocial.gob.cl/programas</v>
      </c>
      <c r="V38" s="4" t="str">
        <f t="shared" si="0"/>
        <v>https://programassociales.ministeriodesarrollosocial.gob.cl/pdf/2020/PRG2020_3_59464.pdf</v>
      </c>
    </row>
    <row r="39" spans="15:22" x14ac:dyDescent="0.25">
      <c r="O39">
        <v>2017</v>
      </c>
      <c r="P39" t="s">
        <v>114</v>
      </c>
      <c r="Q39" t="s">
        <v>54</v>
      </c>
      <c r="R39" t="s">
        <v>55</v>
      </c>
      <c r="S39" s="2">
        <f xml:space="preserve"> 26622592 * 1000000</f>
        <v>26622592000000</v>
      </c>
      <c r="T39" s="39">
        <f t="shared" si="0"/>
        <v>17640975000</v>
      </c>
      <c r="U39" s="4" t="str">
        <f t="shared" si="0"/>
        <v>https://programassociales.ministeriodesarrollosocial.gob.cl/</v>
      </c>
      <c r="V39" s="4" t="str">
        <f t="shared" si="0"/>
        <v>https://programassociales.ministeriodesarrollosocial.gob.cl/pdf/2018/PRG2018_3_59466.pdf</v>
      </c>
    </row>
    <row r="40" spans="15:22" x14ac:dyDescent="0.25">
      <c r="O40">
        <v>2017</v>
      </c>
      <c r="P40" t="s">
        <v>122</v>
      </c>
      <c r="Q40" t="s">
        <v>32</v>
      </c>
      <c r="R40" t="s">
        <v>33</v>
      </c>
      <c r="S40" s="2">
        <f xml:space="preserve"> 246302903 * 1000</f>
        <v>246302903000</v>
      </c>
      <c r="T40" t="s">
        <v>623</v>
      </c>
    </row>
    <row r="41" spans="15:22" x14ac:dyDescent="0.25">
      <c r="O41">
        <v>2016</v>
      </c>
      <c r="P41" t="s">
        <v>125</v>
      </c>
      <c r="Q41" t="s">
        <v>54</v>
      </c>
      <c r="R41" t="s">
        <v>55</v>
      </c>
      <c r="S41" s="2">
        <f xml:space="preserve"> 9170.9 * 1000000</f>
        <v>9170900000</v>
      </c>
      <c r="T41" s="39">
        <f xml:space="preserve"> 9363819 * 1000</f>
        <v>9363819000</v>
      </c>
      <c r="U41" s="4" t="s">
        <v>2339</v>
      </c>
      <c r="V41" s="4" t="s">
        <v>2377</v>
      </c>
    </row>
    <row r="42" spans="15:22" x14ac:dyDescent="0.25">
      <c r="O42">
        <v>2016</v>
      </c>
      <c r="P42" t="s">
        <v>135</v>
      </c>
      <c r="Q42" t="s">
        <v>32</v>
      </c>
      <c r="R42" t="s">
        <v>33</v>
      </c>
      <c r="S42" s="2">
        <f xml:space="preserve"> 23091 * 1000000</f>
        <v>23091000000</v>
      </c>
      <c r="T42" s="39">
        <f xml:space="preserve"> 13206 * 1000000</f>
        <v>13206000000</v>
      </c>
      <c r="U42" s="4" t="s">
        <v>2339</v>
      </c>
      <c r="V42" s="4" t="s">
        <v>2378</v>
      </c>
    </row>
    <row r="43" spans="15:22" x14ac:dyDescent="0.25">
      <c r="O43">
        <v>2016</v>
      </c>
      <c r="P43" t="s">
        <v>140</v>
      </c>
      <c r="Q43" t="s">
        <v>32</v>
      </c>
      <c r="R43" t="s">
        <v>33</v>
      </c>
      <c r="S43" s="2">
        <f xml:space="preserve"> 23091 * 1000000</f>
        <v>23091000000</v>
      </c>
      <c r="T43" s="39">
        <f xml:space="preserve"> 9824 * 1000000</f>
        <v>9824000000</v>
      </c>
      <c r="U43" s="4" t="s">
        <v>2339</v>
      </c>
      <c r="V43" s="4" t="s">
        <v>2379</v>
      </c>
    </row>
    <row r="44" spans="15:22" x14ac:dyDescent="0.25">
      <c r="O44" s="35">
        <v>2016</v>
      </c>
      <c r="P44" s="35" t="s">
        <v>141</v>
      </c>
      <c r="Q44" s="35" t="s">
        <v>32</v>
      </c>
      <c r="R44" s="35" t="s">
        <v>33</v>
      </c>
      <c r="S44" s="44">
        <f xml:space="preserve"> 75570 * 1000000</f>
        <v>75570000000</v>
      </c>
      <c r="T44" s="35" t="s">
        <v>623</v>
      </c>
      <c r="U44" s="45" t="s">
        <v>2339</v>
      </c>
      <c r="V44" s="45" t="s">
        <v>2380</v>
      </c>
    </row>
    <row r="45" spans="15:22" x14ac:dyDescent="0.25">
      <c r="O45">
        <v>2016</v>
      </c>
      <c r="P45" t="s">
        <v>142</v>
      </c>
      <c r="Q45" t="s">
        <v>32</v>
      </c>
      <c r="R45" t="s">
        <v>33</v>
      </c>
      <c r="S45" s="2">
        <f xml:space="preserve"> 75570 * 1000000</f>
        <v>75570000000</v>
      </c>
      <c r="T45" s="39">
        <f xml:space="preserve"> 6647388 * 1000</f>
        <v>6647388000</v>
      </c>
      <c r="U45" s="4" t="s">
        <v>2339</v>
      </c>
      <c r="V45" s="4" t="s">
        <v>2381</v>
      </c>
    </row>
    <row r="46" spans="15:22" x14ac:dyDescent="0.25">
      <c r="O46">
        <v>2015</v>
      </c>
      <c r="P46" t="s">
        <v>185</v>
      </c>
      <c r="Q46" t="s">
        <v>36</v>
      </c>
      <c r="R46" t="s">
        <v>98</v>
      </c>
      <c r="S46" s="2">
        <f xml:space="preserve"> 293866943 * 1000000</f>
        <v>293866943000000</v>
      </c>
      <c r="T46" s="39">
        <f t="shared" ref="T46:V46" si="1">T12</f>
        <v>253201137000</v>
      </c>
      <c r="U46" s="4" t="str">
        <f t="shared" si="1"/>
        <v>https://www.senado.cl/</v>
      </c>
      <c r="V46" s="4" t="str">
        <f t="shared" si="1"/>
        <v>https://www.senado.cl/site/presupuesto/2017/cumplimiento/Glosas%202017/primera_subcomision/21%20Des.%20Social/3953SES/Inf%20monitioreo%20cierre%202016/Fundaciones%20(18-7)/Fundaci%C3%B3n%20Integra%20(2-0)/Jardines%20Infantiles%20y%20Salas%20Cuna%20de%20Administraci%C3%B3n%20Directa(Seguimiento).pdf</v>
      </c>
    </row>
    <row r="47" spans="15:22" x14ac:dyDescent="0.25">
      <c r="O47">
        <v>2014</v>
      </c>
      <c r="P47" t="s">
        <v>195</v>
      </c>
      <c r="Q47" t="s">
        <v>36</v>
      </c>
      <c r="R47" t="s">
        <v>81</v>
      </c>
      <c r="S47" s="2">
        <f t="shared" ref="S47:S48" si="2" xml:space="preserve"> 11549 * 1000000</f>
        <v>11549000000</v>
      </c>
      <c r="T47" s="39" t="s">
        <v>623</v>
      </c>
    </row>
    <row r="48" spans="15:22" x14ac:dyDescent="0.25">
      <c r="O48">
        <v>2014</v>
      </c>
      <c r="P48" t="s">
        <v>205</v>
      </c>
      <c r="Q48" t="s">
        <v>36</v>
      </c>
      <c r="R48" t="s">
        <v>81</v>
      </c>
      <c r="S48" s="2">
        <f t="shared" si="2"/>
        <v>11549000000</v>
      </c>
      <c r="T48" s="39">
        <f xml:space="preserve"> 312243 * 1000</f>
        <v>312243000</v>
      </c>
      <c r="U48" s="4" t="s">
        <v>2339</v>
      </c>
      <c r="V48" s="4" t="s">
        <v>2383</v>
      </c>
    </row>
    <row r="49" spans="15:22" x14ac:dyDescent="0.25">
      <c r="O49">
        <v>2014</v>
      </c>
      <c r="P49" t="s">
        <v>198</v>
      </c>
      <c r="Q49" t="s">
        <v>54</v>
      </c>
      <c r="R49" t="s">
        <v>55</v>
      </c>
      <c r="S49" s="2">
        <f xml:space="preserve"> 46130757 * 1000000</f>
        <v>46130757000000</v>
      </c>
      <c r="T49" s="39">
        <f t="shared" ref="T49:U49" si="3">T14</f>
        <v>44468210000</v>
      </c>
      <c r="U49" s="4" t="str">
        <f t="shared" si="3"/>
        <v>https://www.minsal.cl/campana-mas-medicos-y-especialistas/</v>
      </c>
    </row>
    <row r="50" spans="15:22" x14ac:dyDescent="0.25">
      <c r="O50" s="35">
        <v>2013</v>
      </c>
      <c r="P50" s="35" t="s">
        <v>219</v>
      </c>
      <c r="Q50" s="35" t="s">
        <v>40</v>
      </c>
      <c r="R50" s="35" t="s">
        <v>160</v>
      </c>
      <c r="S50" s="44">
        <f xml:space="preserve"> 1065 * 1000000</f>
        <v>1065000000</v>
      </c>
      <c r="T50" s="43">
        <f xml:space="preserve"> 44850000 * 1000</f>
        <v>44850000000</v>
      </c>
      <c r="U50" s="45" t="s">
        <v>2384</v>
      </c>
      <c r="V50" s="35"/>
    </row>
    <row r="51" spans="15:22" x14ac:dyDescent="0.25">
      <c r="O51">
        <v>2013</v>
      </c>
      <c r="P51" t="s">
        <v>223</v>
      </c>
      <c r="Q51" t="s">
        <v>54</v>
      </c>
      <c r="R51" t="s">
        <v>55</v>
      </c>
      <c r="S51" s="2" t="s">
        <v>623</v>
      </c>
      <c r="T51" s="39" t="s">
        <v>623</v>
      </c>
      <c r="U51" s="4" t="s">
        <v>2339</v>
      </c>
      <c r="V51" s="4" t="s">
        <v>2385</v>
      </c>
    </row>
    <row r="52" spans="15:22" x14ac:dyDescent="0.25">
      <c r="O52">
        <v>2013</v>
      </c>
      <c r="P52" t="s">
        <v>226</v>
      </c>
      <c r="Q52" t="s">
        <v>54</v>
      </c>
      <c r="R52" t="s">
        <v>55</v>
      </c>
      <c r="S52" s="2"/>
      <c r="T52" s="39" t="s">
        <v>623</v>
      </c>
    </row>
    <row r="53" spans="15:22" x14ac:dyDescent="0.25">
      <c r="O53">
        <v>2013</v>
      </c>
      <c r="P53" t="s">
        <v>227</v>
      </c>
      <c r="Q53" t="s">
        <v>54</v>
      </c>
      <c r="R53" t="s">
        <v>55</v>
      </c>
      <c r="S53" s="2"/>
      <c r="T53" s="39" t="s">
        <v>623</v>
      </c>
    </row>
    <row r="54" spans="15:22" x14ac:dyDescent="0.25">
      <c r="O54">
        <v>2013</v>
      </c>
      <c r="P54" t="s">
        <v>228</v>
      </c>
      <c r="Q54" t="s">
        <v>54</v>
      </c>
      <c r="R54" t="s">
        <v>55</v>
      </c>
      <c r="S54" s="2"/>
      <c r="T54" s="39" t="s">
        <v>623</v>
      </c>
    </row>
    <row r="55" spans="15:22" x14ac:dyDescent="0.25">
      <c r="O55">
        <v>2013</v>
      </c>
      <c r="P55" t="s">
        <v>2358</v>
      </c>
      <c r="Q55" t="s">
        <v>20</v>
      </c>
      <c r="R55" t="s">
        <v>21</v>
      </c>
      <c r="S55" s="2"/>
      <c r="T55" s="39">
        <f xml:space="preserve"> 187288 * 1000</f>
        <v>187288000</v>
      </c>
      <c r="U55" s="4" t="s">
        <v>2339</v>
      </c>
      <c r="V55" s="4" t="s">
        <v>2386</v>
      </c>
    </row>
    <row r="56" spans="15:22" x14ac:dyDescent="0.25">
      <c r="O56">
        <v>2012</v>
      </c>
      <c r="P56" t="s">
        <v>247</v>
      </c>
      <c r="Q56" t="s">
        <v>40</v>
      </c>
      <c r="R56" t="s">
        <v>43</v>
      </c>
      <c r="S56" s="2">
        <f xml:space="preserve"> 4992810 * 1000000</f>
        <v>4992810000000</v>
      </c>
      <c r="T56" s="39" t="s">
        <v>623</v>
      </c>
    </row>
    <row r="57" spans="15:22" x14ac:dyDescent="0.25">
      <c r="O57">
        <v>2010</v>
      </c>
      <c r="P57" t="s">
        <v>247</v>
      </c>
      <c r="Q57" t="s">
        <v>40</v>
      </c>
      <c r="R57" t="s">
        <v>43</v>
      </c>
      <c r="S57" s="2" t="s">
        <v>623</v>
      </c>
      <c r="T57" s="39">
        <f xml:space="preserve"> 1443171 * 1000</f>
        <v>1443171000</v>
      </c>
      <c r="U57" s="4" t="s">
        <v>2388</v>
      </c>
      <c r="V57" s="4" t="s">
        <v>2387</v>
      </c>
    </row>
    <row r="58" spans="15:22" x14ac:dyDescent="0.25">
      <c r="O58" s="35">
        <v>2010</v>
      </c>
      <c r="P58" s="35" t="s">
        <v>327</v>
      </c>
      <c r="Q58" s="35" t="s">
        <v>36</v>
      </c>
      <c r="R58" s="35" t="s">
        <v>37</v>
      </c>
      <c r="S58" s="44" t="s">
        <v>623</v>
      </c>
      <c r="T58" s="43" t="s">
        <v>623</v>
      </c>
      <c r="U58" s="45" t="s">
        <v>2390</v>
      </c>
      <c r="V58" s="45" t="s">
        <v>2389</v>
      </c>
    </row>
    <row r="59" spans="15:22" x14ac:dyDescent="0.25">
      <c r="O59">
        <v>2010</v>
      </c>
      <c r="P59" t="s">
        <v>333</v>
      </c>
      <c r="Q59" t="s">
        <v>71</v>
      </c>
      <c r="R59" t="s">
        <v>167</v>
      </c>
      <c r="S59" s="2"/>
      <c r="T59" t="s">
        <v>623</v>
      </c>
    </row>
    <row r="60" spans="15:22" x14ac:dyDescent="0.25">
      <c r="O60">
        <v>2010</v>
      </c>
      <c r="P60" t="s">
        <v>334</v>
      </c>
      <c r="Q60" t="s">
        <v>54</v>
      </c>
      <c r="R60" t="s">
        <v>335</v>
      </c>
      <c r="S60" s="2"/>
      <c r="T60" s="39">
        <f xml:space="preserve"> 6210093 * 1000</f>
        <v>6210093000</v>
      </c>
      <c r="U60" s="4" t="s">
        <v>2393</v>
      </c>
      <c r="V60" s="4" t="s">
        <v>2392</v>
      </c>
    </row>
    <row r="61" spans="15:22" x14ac:dyDescent="0.25">
      <c r="O61">
        <v>2010</v>
      </c>
      <c r="P61" t="s">
        <v>336</v>
      </c>
      <c r="Q61" t="s">
        <v>54</v>
      </c>
      <c r="R61" t="s">
        <v>236</v>
      </c>
      <c r="S61" s="2"/>
      <c r="T61" t="s">
        <v>623</v>
      </c>
    </row>
    <row r="62" spans="15:22" x14ac:dyDescent="0.25">
      <c r="O62">
        <v>2010</v>
      </c>
      <c r="P62" t="s">
        <v>339</v>
      </c>
      <c r="Q62" t="s">
        <v>32</v>
      </c>
      <c r="R62" t="s">
        <v>33</v>
      </c>
      <c r="S62" s="2"/>
      <c r="T62" t="s">
        <v>623</v>
      </c>
    </row>
    <row r="63" spans="15:22" x14ac:dyDescent="0.25">
      <c r="O63">
        <v>2009</v>
      </c>
      <c r="P63" t="s">
        <v>362</v>
      </c>
      <c r="Q63" t="s">
        <v>71</v>
      </c>
      <c r="R63" t="s">
        <v>167</v>
      </c>
      <c r="S63" s="2"/>
      <c r="T63" t="s">
        <v>623</v>
      </c>
    </row>
    <row r="64" spans="15:22" x14ac:dyDescent="0.25">
      <c r="O64" s="35">
        <v>2009</v>
      </c>
      <c r="P64" s="35" t="s">
        <v>365</v>
      </c>
      <c r="Q64" s="35" t="s">
        <v>164</v>
      </c>
      <c r="R64" s="35" t="s">
        <v>165</v>
      </c>
      <c r="S64" s="44"/>
      <c r="T64" s="35" t="s">
        <v>623</v>
      </c>
      <c r="U64" s="45" t="s">
        <v>2339</v>
      </c>
      <c r="V64" s="45" t="s">
        <v>2394</v>
      </c>
    </row>
    <row r="65" spans="15:22" x14ac:dyDescent="0.25">
      <c r="O65">
        <v>2009</v>
      </c>
      <c r="P65" t="s">
        <v>376</v>
      </c>
      <c r="Q65" t="s">
        <v>64</v>
      </c>
      <c r="R65" t="s">
        <v>262</v>
      </c>
      <c r="S65" s="2"/>
      <c r="T65" t="s">
        <v>623</v>
      </c>
    </row>
    <row r="66" spans="15:22" x14ac:dyDescent="0.25">
      <c r="O66">
        <v>2009</v>
      </c>
      <c r="P66" t="s">
        <v>377</v>
      </c>
      <c r="Q66" t="s">
        <v>64</v>
      </c>
      <c r="R66" t="s">
        <v>262</v>
      </c>
      <c r="S66" s="2"/>
      <c r="T66" t="s">
        <v>623</v>
      </c>
    </row>
    <row r="67" spans="15:22" x14ac:dyDescent="0.25">
      <c r="V67" s="4" t="s">
        <v>2391</v>
      </c>
    </row>
  </sheetData>
  <mergeCells count="3">
    <mergeCell ref="T8:T9"/>
    <mergeCell ref="U8:U9"/>
    <mergeCell ref="V8:V9"/>
  </mergeCells>
  <phoneticPr fontId="18" type="noConversion"/>
  <hyperlinks>
    <hyperlink ref="V3" r:id="rId1" xr:uid="{57F717A0-1AB9-4347-AE09-60BDEAA1E912}"/>
    <hyperlink ref="V4" r:id="rId2" xr:uid="{3E230FA5-067A-46DF-AEDA-23C9480202B6}"/>
    <hyperlink ref="U4" r:id="rId3" xr:uid="{796C5839-8F38-4627-91DA-69B42AEB1A77}"/>
    <hyperlink ref="V5" r:id="rId4" xr:uid="{D17E18AC-8449-4C43-A417-E7695841C32C}"/>
    <hyperlink ref="U5" r:id="rId5" xr:uid="{E98DCD2C-379C-47F7-B68D-D1CAE1639E72}"/>
    <hyperlink ref="U7" r:id="rId6" xr:uid="{C590341C-5F12-4193-B995-CB6D396813B0}"/>
    <hyperlink ref="V7" r:id="rId7" xr:uid="{E641F838-9E46-48AA-B364-64CF438C8876}"/>
    <hyperlink ref="V8" r:id="rId8" xr:uid="{BE3FD043-9040-4993-ACAE-B935E8B0BA87}"/>
    <hyperlink ref="V6" r:id="rId9" xr:uid="{B94ED17A-6AF7-40A1-AEEF-341B45562D31}"/>
    <hyperlink ref="U10" r:id="rId10" xr:uid="{769C1AE5-42FC-4279-9506-018F93148139}"/>
    <hyperlink ref="V10" r:id="rId11" xr:uid="{BB01BF5C-1CB2-4FC4-8D6D-5A9E76612CA6}"/>
    <hyperlink ref="U12" r:id="rId12" xr:uid="{6AC56E08-76F5-428B-B220-E2F25FF086BF}"/>
    <hyperlink ref="V11" r:id="rId13" xr:uid="{C6AA08BC-6AF2-4896-8220-EBF403A9D510}"/>
    <hyperlink ref="V12" r:id="rId14" display="https://www.senado.cl/site/presupuesto/2017/cumplimiento/Glosas%202017/primera_subcomision/21%20Des.%20Social/3953SES/Inf%20monitioreo%20cierre%202016/Fundaciones%20(18-7)/Fundaci%C3%B3n%20Integra%20(2-0)/Jardines%20Infantiles%20y%20Salas%20Cuna%20de%20Administraci%C3%B3n%20Directa(Seguimiento).pdf" xr:uid="{2DD61C44-1FA5-41D5-B414-2A938FA570DB}"/>
    <hyperlink ref="V13" r:id="rId15" xr:uid="{E22084D1-898A-4B12-8735-621A98C5D5E9}"/>
    <hyperlink ref="U14" r:id="rId16" xr:uid="{7AFC842B-BE8D-4F75-A544-794FA04B7E55}"/>
    <hyperlink ref="V17" r:id="rId17" xr:uid="{60320C2E-904B-43EA-A60A-7C16280F9FB0}"/>
    <hyperlink ref="P20" r:id="rId18" xr:uid="{EC2FECBF-B3B1-4081-8A24-DC2CED1AB85A}"/>
    <hyperlink ref="U3" r:id="rId19" location="presupuesto_anios" xr:uid="{3A0FD81A-9DF2-431F-9DE7-ABB33C1C8520}"/>
    <hyperlink ref="V37" r:id="rId20" xr:uid="{AE0B1A8F-A84F-4700-B7FD-4CEB69AEA26C}"/>
    <hyperlink ref="U37" r:id="rId21" xr:uid="{B1A67FE0-FC62-4C44-94C4-AA6AF05B22C8}"/>
    <hyperlink ref="V24" r:id="rId22" xr:uid="{AB33647C-8E45-416C-814C-327B67442B40}"/>
    <hyperlink ref="U24" r:id="rId23" xr:uid="{030BC8FE-AD48-432B-B9EC-3D535FE6EAEC}"/>
    <hyperlink ref="V25" r:id="rId24" xr:uid="{4AF5EA81-704F-4CAC-9891-8CAFFB2C02EC}"/>
    <hyperlink ref="U25" r:id="rId25" xr:uid="{728C4B77-8E43-4706-914B-DA950A483879}"/>
    <hyperlink ref="V26" r:id="rId26" xr:uid="{8FB591E9-D989-4676-9599-F214A68D3617}"/>
    <hyperlink ref="U26" r:id="rId27" xr:uid="{93D22DAC-8343-4C93-B5D2-EFD0E99DD236}"/>
    <hyperlink ref="V27" r:id="rId28" xr:uid="{08546CBA-2D7B-4A7C-9F71-2B7B160CCC97}"/>
    <hyperlink ref="U27" r:id="rId29" xr:uid="{8771383A-3BAF-48E1-BF2B-FD3AAFD5B312}"/>
    <hyperlink ref="U30" r:id="rId30" xr:uid="{EC9D7735-4F95-46BE-98B5-E7C815A39A42}"/>
    <hyperlink ref="V30" r:id="rId31" xr:uid="{4F1AEF5C-020F-4C8B-B595-DAA05593C99D}"/>
    <hyperlink ref="V31" r:id="rId32" xr:uid="{B5D011EB-EABA-4C63-8DED-538363C50F16}"/>
    <hyperlink ref="U31" r:id="rId33" xr:uid="{2BBB2C8B-675B-4B6C-8A8C-7B144D865FBB}"/>
    <hyperlink ref="V32" r:id="rId34" xr:uid="{1870D7D4-3608-4458-A64F-BB787646DC12}"/>
    <hyperlink ref="U32" r:id="rId35" xr:uid="{D45BBB59-A182-41C2-957F-BF1A50CBFCEC}"/>
    <hyperlink ref="V33" r:id="rId36" xr:uid="{F219FBDA-BB80-4E6E-9148-D53A120DC6E5}"/>
    <hyperlink ref="U33" r:id="rId37" xr:uid="{1E5037AA-9206-4827-A7E4-AD70B0757E6C}"/>
    <hyperlink ref="V34" r:id="rId38" xr:uid="{D5345BE2-6E10-4374-9405-7EB778915161}"/>
    <hyperlink ref="U34" r:id="rId39" xr:uid="{162C052B-32E7-40E1-A59D-86807ACFA55F}"/>
    <hyperlink ref="V36" r:id="rId40" xr:uid="{1620DCD2-E662-4AA5-8A88-6D48C7B6A969}"/>
    <hyperlink ref="U36" r:id="rId41" xr:uid="{059594DB-9906-486B-8297-F2FC4D651776}"/>
    <hyperlink ref="V41" r:id="rId42" xr:uid="{E9AFB2BF-8CA0-467C-BBD6-E5C021117619}"/>
    <hyperlink ref="U41" r:id="rId43" xr:uid="{C6770D00-E978-4FD2-9980-783384EC196B}"/>
    <hyperlink ref="V42" r:id="rId44" xr:uid="{EFC67A9E-9787-46D4-93FF-90A72AE9DB28}"/>
    <hyperlink ref="U42" r:id="rId45" xr:uid="{6F350B3B-E005-4354-9157-19C49AD93A67}"/>
    <hyperlink ref="V43" r:id="rId46" xr:uid="{E51E4DD1-0C3E-4C84-8822-DE683B08BDB3}"/>
    <hyperlink ref="U43" r:id="rId47" xr:uid="{73A12D9E-9B6E-4C29-A1BF-346A83F785AC}"/>
    <hyperlink ref="V44" r:id="rId48" xr:uid="{65CCA62B-1300-4E35-81EE-65F4538A9B4A}"/>
    <hyperlink ref="U44" r:id="rId49" xr:uid="{766421AA-E3BA-4887-9F44-87CEFE52A159}"/>
    <hyperlink ref="V45" r:id="rId50" xr:uid="{F745A7B3-9CA9-430F-810B-1A6DB28AF16C}"/>
    <hyperlink ref="U45" r:id="rId51" xr:uid="{2F4C9D2F-392E-4657-B45A-8AD8E8C947CE}"/>
    <hyperlink ref="V29" r:id="rId52" xr:uid="{A56E6632-CAC5-4902-B3EE-F750C7CA3C8C}"/>
    <hyperlink ref="U29" r:id="rId53" xr:uid="{D1BC021E-F14D-4349-9B79-BDC118C2C3A4}"/>
    <hyperlink ref="U48" r:id="rId54" xr:uid="{474028DC-E920-4E48-AE9F-D7CF3BEEEDE3}"/>
    <hyperlink ref="V48" r:id="rId55" xr:uid="{BFA7FB8D-48E7-45CC-B9A7-984F440E784E}"/>
    <hyperlink ref="U50" r:id="rId56" xr:uid="{ABBEB5AE-7452-4A47-9086-926429B5636B}"/>
    <hyperlink ref="V51" r:id="rId57" xr:uid="{929891B2-430F-4F0E-A458-A211AE9168DE}"/>
    <hyperlink ref="U51" r:id="rId58" xr:uid="{71D377FF-31CB-4414-A25A-8166E3861FDF}"/>
    <hyperlink ref="V55" r:id="rId59" xr:uid="{4E125876-91C8-EB4B-AD5F-F78696DDCEE6}"/>
    <hyperlink ref="U55" r:id="rId60" xr:uid="{FDB58431-110A-4A4B-A27E-D2DD0D11C630}"/>
    <hyperlink ref="V58" r:id="rId61" xr:uid="{840C3A69-E067-4CA4-A3DE-B95DDCAD601C}"/>
    <hyperlink ref="U58" r:id="rId62" xr:uid="{A3F67F3F-6B32-4AD8-85F6-CEB5A8FE54A8}"/>
    <hyperlink ref="V57" r:id="rId63" xr:uid="{8F27FD19-A552-49D0-A01F-809C39FA8C08}"/>
    <hyperlink ref="U57" r:id="rId64" xr:uid="{CA93CDB5-4056-464F-8E6D-3DCA49F7B796}"/>
    <hyperlink ref="V67" r:id="rId65" xr:uid="{7C28661D-E94C-4C80-B950-B2A9727B2953}"/>
    <hyperlink ref="V60" r:id="rId66" xr:uid="{C92C6413-88BE-4A6B-B2E6-A8C0D341FD23}"/>
    <hyperlink ref="U60" r:id="rId67" xr:uid="{B0D1EBAD-4DCC-4F44-B86F-C05F0527A37F}"/>
    <hyperlink ref="V64" r:id="rId68" xr:uid="{D7D77E46-BD95-4A3A-9509-BBB47E72DAF3}"/>
    <hyperlink ref="U64" r:id="rId69" xr:uid="{6D57A6A9-864B-463E-97C2-E5C68A99E7AE}"/>
    <hyperlink ref="G3" r:id="rId70" xr:uid="{C863C295-5F51-4A4C-8465-B90D3EB68A4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D841-8F73-437D-97E2-118BF5C58E6F}">
  <dimension ref="A1:N70"/>
  <sheetViews>
    <sheetView topLeftCell="A9" zoomScale="60" zoomScaleNormal="60" workbookViewId="0">
      <selection activeCell="C13" sqref="C13:C15"/>
    </sheetView>
  </sheetViews>
  <sheetFormatPr baseColWidth="10" defaultColWidth="10.7109375" defaultRowHeight="15" x14ac:dyDescent="0.25"/>
  <cols>
    <col min="1" max="1" width="41.140625" style="15" customWidth="1"/>
    <col min="2" max="2" width="48" style="15" bestFit="1" customWidth="1"/>
    <col min="3" max="3" width="47.140625" style="15" customWidth="1"/>
    <col min="4" max="4" width="89.85546875" style="67" customWidth="1"/>
    <col min="5" max="5" width="12" bestFit="1" customWidth="1"/>
    <col min="6" max="6" width="14.7109375" bestFit="1" customWidth="1"/>
    <col min="9" max="9" width="12" bestFit="1" customWidth="1"/>
    <col min="10" max="10" width="14.7109375" bestFit="1" customWidth="1"/>
    <col min="13" max="13" width="17.85546875" bestFit="1" customWidth="1"/>
  </cols>
  <sheetData>
    <row r="1" spans="1:4" x14ac:dyDescent="0.25">
      <c r="A1" s="63" t="s">
        <v>5</v>
      </c>
      <c r="B1" s="63" t="s">
        <v>2413</v>
      </c>
      <c r="C1" s="70" t="s">
        <v>1316</v>
      </c>
      <c r="D1" s="66" t="s">
        <v>2421</v>
      </c>
    </row>
    <row r="2" spans="1:4" x14ac:dyDescent="0.25">
      <c r="A2" s="15" t="s">
        <v>2414</v>
      </c>
      <c r="B2" s="15" t="s">
        <v>0</v>
      </c>
      <c r="C2" s="15" t="s">
        <v>2455</v>
      </c>
    </row>
    <row r="3" spans="1:4" x14ac:dyDescent="0.25">
      <c r="A3" s="15" t="s">
        <v>2414</v>
      </c>
      <c r="B3" s="15" t="s">
        <v>1</v>
      </c>
      <c r="C3" s="15" t="s">
        <v>2456</v>
      </c>
    </row>
    <row r="4" spans="1:4" ht="409.5" x14ac:dyDescent="0.25">
      <c r="A4" s="15" t="s">
        <v>2</v>
      </c>
      <c r="B4" s="15" t="s">
        <v>2</v>
      </c>
      <c r="C4" s="15" t="s">
        <v>2310</v>
      </c>
      <c r="D4" s="67" t="s">
        <v>2459</v>
      </c>
    </row>
    <row r="5" spans="1:4" s="57" customFormat="1" ht="120" x14ac:dyDescent="0.25">
      <c r="A5" s="15" t="s">
        <v>2</v>
      </c>
      <c r="B5" s="15" t="s">
        <v>7</v>
      </c>
      <c r="C5" s="15" t="s">
        <v>1317</v>
      </c>
      <c r="D5" s="67" t="s">
        <v>2423</v>
      </c>
    </row>
    <row r="6" spans="1:4" s="57" customFormat="1" ht="120" x14ac:dyDescent="0.25">
      <c r="A6" s="15" t="s">
        <v>2</v>
      </c>
      <c r="B6" s="15" t="s">
        <v>67</v>
      </c>
      <c r="C6" s="15" t="s">
        <v>1318</v>
      </c>
      <c r="D6" s="67" t="s">
        <v>2426</v>
      </c>
    </row>
    <row r="7" spans="1:4" s="57" customFormat="1" ht="120" x14ac:dyDescent="0.25">
      <c r="A7" s="15" t="s">
        <v>2</v>
      </c>
      <c r="B7" s="15" t="s">
        <v>92</v>
      </c>
      <c r="C7" s="15" t="s">
        <v>1319</v>
      </c>
      <c r="D7" s="67" t="s">
        <v>2422</v>
      </c>
    </row>
    <row r="8" spans="1:4" s="57" customFormat="1" ht="180" x14ac:dyDescent="0.25">
      <c r="A8" s="15" t="s">
        <v>2</v>
      </c>
      <c r="B8" s="15" t="s">
        <v>155</v>
      </c>
      <c r="C8" s="15" t="s">
        <v>1320</v>
      </c>
      <c r="D8" s="67" t="s">
        <v>2424</v>
      </c>
    </row>
    <row r="9" spans="1:4" s="57" customFormat="1" ht="150" x14ac:dyDescent="0.25">
      <c r="A9" s="15" t="s">
        <v>2</v>
      </c>
      <c r="B9" s="15" t="s">
        <v>283</v>
      </c>
      <c r="C9" s="15" t="s">
        <v>1321</v>
      </c>
      <c r="D9" s="67" t="s">
        <v>2425</v>
      </c>
    </row>
    <row r="10" spans="1:4" x14ac:dyDescent="0.25">
      <c r="A10" s="15" t="s">
        <v>2414</v>
      </c>
      <c r="B10" s="15" t="s">
        <v>3</v>
      </c>
      <c r="C10" s="15" t="s">
        <v>2457</v>
      </c>
    </row>
    <row r="11" spans="1:4" x14ac:dyDescent="0.25">
      <c r="A11" s="15" t="s">
        <v>2414</v>
      </c>
      <c r="B11" s="15" t="s">
        <v>4</v>
      </c>
      <c r="C11" s="15" t="s">
        <v>2458</v>
      </c>
    </row>
    <row r="12" spans="1:4" x14ac:dyDescent="0.25">
      <c r="A12" s="15" t="s">
        <v>2</v>
      </c>
      <c r="B12" s="15" t="s">
        <v>5</v>
      </c>
      <c r="C12" s="15" t="s">
        <v>2429</v>
      </c>
    </row>
    <row r="13" spans="1:4" x14ac:dyDescent="0.25">
      <c r="A13" s="15" t="s">
        <v>2414</v>
      </c>
      <c r="B13" s="15" t="s">
        <v>718</v>
      </c>
      <c r="C13" s="15" t="s">
        <v>2460</v>
      </c>
    </row>
    <row r="14" spans="1:4" x14ac:dyDescent="0.25">
      <c r="A14" s="15" t="s">
        <v>2414</v>
      </c>
      <c r="B14" s="15" t="s">
        <v>720</v>
      </c>
      <c r="C14" s="15" t="s">
        <v>2461</v>
      </c>
    </row>
    <row r="15" spans="1:4" x14ac:dyDescent="0.25">
      <c r="A15" s="15" t="s">
        <v>2414</v>
      </c>
      <c r="B15" s="15" t="s">
        <v>721</v>
      </c>
      <c r="C15" s="15" t="s">
        <v>2462</v>
      </c>
    </row>
    <row r="16" spans="1:4" x14ac:dyDescent="0.25">
      <c r="A16" s="15" t="s">
        <v>2414</v>
      </c>
      <c r="B16" s="15" t="s">
        <v>719</v>
      </c>
      <c r="C16" s="15" t="s">
        <v>2463</v>
      </c>
    </row>
    <row r="17" spans="1:4" x14ac:dyDescent="0.25">
      <c r="A17" s="64" t="s">
        <v>2</v>
      </c>
      <c r="B17" s="64" t="s">
        <v>722</v>
      </c>
      <c r="C17" s="64" t="s">
        <v>2318</v>
      </c>
      <c r="D17" s="68"/>
    </row>
    <row r="18" spans="1:4" x14ac:dyDescent="0.25">
      <c r="A18" s="15" t="s">
        <v>2415</v>
      </c>
      <c r="B18" s="15" t="s">
        <v>724</v>
      </c>
      <c r="C18" s="87" t="s">
        <v>2311</v>
      </c>
    </row>
    <row r="19" spans="1:4" x14ac:dyDescent="0.25">
      <c r="A19" s="15" t="s">
        <v>2415</v>
      </c>
      <c r="B19" s="15" t="s">
        <v>725</v>
      </c>
      <c r="C19" s="87"/>
    </row>
    <row r="20" spans="1:4" x14ac:dyDescent="0.25">
      <c r="A20" s="15" t="s">
        <v>2415</v>
      </c>
      <c r="B20" s="15" t="s">
        <v>726</v>
      </c>
      <c r="C20" s="87"/>
    </row>
    <row r="21" spans="1:4" x14ac:dyDescent="0.25">
      <c r="A21" s="15" t="s">
        <v>2415</v>
      </c>
      <c r="B21" s="15" t="s">
        <v>727</v>
      </c>
      <c r="C21" s="87"/>
    </row>
    <row r="22" spans="1:4" x14ac:dyDescent="0.25">
      <c r="A22" s="15" t="s">
        <v>2415</v>
      </c>
      <c r="B22" s="15" t="s">
        <v>728</v>
      </c>
      <c r="C22" s="87"/>
    </row>
    <row r="23" spans="1:4" x14ac:dyDescent="0.25">
      <c r="A23" s="15" t="s">
        <v>2415</v>
      </c>
      <c r="B23" s="15" t="s">
        <v>734</v>
      </c>
      <c r="C23" s="15" t="s">
        <v>2312</v>
      </c>
    </row>
    <row r="24" spans="1:4" x14ac:dyDescent="0.25">
      <c r="A24" s="15" t="s">
        <v>2416</v>
      </c>
      <c r="B24" s="15" t="s">
        <v>736</v>
      </c>
      <c r="C24" s="87" t="s">
        <v>2313</v>
      </c>
    </row>
    <row r="25" spans="1:4" x14ac:dyDescent="0.25">
      <c r="A25" s="15" t="s">
        <v>2416</v>
      </c>
      <c r="B25" s="15" t="s">
        <v>737</v>
      </c>
      <c r="C25" s="87"/>
    </row>
    <row r="26" spans="1:4" x14ac:dyDescent="0.25">
      <c r="A26" s="15" t="s">
        <v>2416</v>
      </c>
      <c r="B26" s="15" t="s">
        <v>738</v>
      </c>
      <c r="C26" s="87"/>
    </row>
    <row r="27" spans="1:4" x14ac:dyDescent="0.25">
      <c r="A27" s="64" t="s">
        <v>2</v>
      </c>
      <c r="B27" s="64" t="s">
        <v>1140</v>
      </c>
      <c r="C27" s="64" t="s">
        <v>2314</v>
      </c>
      <c r="D27" s="68"/>
    </row>
    <row r="28" spans="1:4" x14ac:dyDescent="0.25">
      <c r="A28" s="15" t="s">
        <v>2414</v>
      </c>
      <c r="B28" s="15" t="s">
        <v>1148</v>
      </c>
      <c r="C28" s="15" t="s">
        <v>2315</v>
      </c>
    </row>
    <row r="29" spans="1:4" x14ac:dyDescent="0.25">
      <c r="A29" s="15" t="s">
        <v>2414</v>
      </c>
      <c r="B29" s="15" t="s">
        <v>1647</v>
      </c>
      <c r="C29" s="15" t="s">
        <v>2316</v>
      </c>
    </row>
    <row r="30" spans="1:4" x14ac:dyDescent="0.25">
      <c r="A30" s="15" t="s">
        <v>2</v>
      </c>
      <c r="B30" s="15" t="s">
        <v>1699</v>
      </c>
      <c r="C30" s="87" t="s">
        <v>2317</v>
      </c>
    </row>
    <row r="31" spans="1:4" x14ac:dyDescent="0.25">
      <c r="A31" s="15" t="s">
        <v>2</v>
      </c>
      <c r="B31" s="15" t="s">
        <v>1700</v>
      </c>
      <c r="C31" s="87"/>
    </row>
    <row r="32" spans="1:4" x14ac:dyDescent="0.25">
      <c r="A32" s="15" t="s">
        <v>2</v>
      </c>
      <c r="B32" s="15" t="s">
        <v>1701</v>
      </c>
      <c r="C32" s="87"/>
    </row>
    <row r="33" spans="1:3" x14ac:dyDescent="0.25">
      <c r="A33" s="15" t="s">
        <v>2</v>
      </c>
      <c r="B33" s="15" t="s">
        <v>1702</v>
      </c>
      <c r="C33" s="87"/>
    </row>
    <row r="34" spans="1:3" x14ac:dyDescent="0.25">
      <c r="A34" s="15" t="s">
        <v>2</v>
      </c>
      <c r="B34" s="15" t="s">
        <v>1703</v>
      </c>
      <c r="C34" s="87"/>
    </row>
    <row r="35" spans="1:3" x14ac:dyDescent="0.25">
      <c r="A35" s="15" t="s">
        <v>2</v>
      </c>
      <c r="B35" s="15" t="s">
        <v>1704</v>
      </c>
      <c r="C35" s="87"/>
    </row>
    <row r="36" spans="1:3" x14ac:dyDescent="0.25">
      <c r="A36" s="15" t="s">
        <v>2</v>
      </c>
      <c r="B36" s="15" t="s">
        <v>1705</v>
      </c>
      <c r="C36" s="87"/>
    </row>
    <row r="37" spans="1:3" x14ac:dyDescent="0.25">
      <c r="A37" s="15" t="s">
        <v>2</v>
      </c>
      <c r="B37" s="15" t="s">
        <v>1726</v>
      </c>
      <c r="C37" s="87"/>
    </row>
    <row r="38" spans="1:3" x14ac:dyDescent="0.25">
      <c r="A38" s="15" t="s">
        <v>2</v>
      </c>
      <c r="B38" s="15" t="s">
        <v>1743</v>
      </c>
      <c r="C38" s="87"/>
    </row>
    <row r="39" spans="1:3" x14ac:dyDescent="0.25">
      <c r="A39" s="15" t="s">
        <v>2</v>
      </c>
      <c r="B39" s="15" t="s">
        <v>1744</v>
      </c>
      <c r="C39" s="87"/>
    </row>
    <row r="40" spans="1:3" x14ac:dyDescent="0.25">
      <c r="A40" s="15" t="s">
        <v>2</v>
      </c>
      <c r="B40" s="15" t="s">
        <v>1745</v>
      </c>
      <c r="C40" s="87"/>
    </row>
    <row r="41" spans="1:3" x14ac:dyDescent="0.25">
      <c r="A41" s="15" t="s">
        <v>2</v>
      </c>
      <c r="B41" s="15" t="s">
        <v>1746</v>
      </c>
      <c r="C41" s="87"/>
    </row>
    <row r="42" spans="1:3" x14ac:dyDescent="0.25">
      <c r="A42" s="15" t="s">
        <v>2</v>
      </c>
      <c r="B42" s="15" t="s">
        <v>1747</v>
      </c>
      <c r="C42" s="87"/>
    </row>
    <row r="43" spans="1:3" x14ac:dyDescent="0.25">
      <c r="A43" s="15" t="s">
        <v>2</v>
      </c>
      <c r="B43" s="15" t="s">
        <v>1767</v>
      </c>
      <c r="C43" s="87"/>
    </row>
    <row r="44" spans="1:3" x14ac:dyDescent="0.25">
      <c r="A44" s="15" t="s">
        <v>2</v>
      </c>
      <c r="B44" s="15" t="s">
        <v>1916</v>
      </c>
      <c r="C44" s="87"/>
    </row>
    <row r="45" spans="1:3" x14ac:dyDescent="0.25">
      <c r="A45" s="15" t="s">
        <v>2</v>
      </c>
      <c r="B45" s="15" t="s">
        <v>1917</v>
      </c>
      <c r="C45" s="87"/>
    </row>
    <row r="46" spans="1:3" x14ac:dyDescent="0.25">
      <c r="A46" s="15" t="s">
        <v>2</v>
      </c>
      <c r="B46" s="15" t="s">
        <v>1918</v>
      </c>
      <c r="C46" s="87"/>
    </row>
    <row r="47" spans="1:3" x14ac:dyDescent="0.25">
      <c r="A47" s="15" t="s">
        <v>2</v>
      </c>
      <c r="B47" s="15" t="s">
        <v>2032</v>
      </c>
      <c r="C47" s="87"/>
    </row>
    <row r="48" spans="1:3" x14ac:dyDescent="0.25">
      <c r="A48" s="15" t="s">
        <v>2</v>
      </c>
      <c r="B48" s="15" t="s">
        <v>2033</v>
      </c>
      <c r="C48" s="87"/>
    </row>
    <row r="49" spans="1:14" x14ac:dyDescent="0.25">
      <c r="A49" s="15" t="s">
        <v>2</v>
      </c>
      <c r="B49" s="15" t="s">
        <v>2034</v>
      </c>
      <c r="C49" s="87"/>
    </row>
    <row r="50" spans="1:14" ht="30" x14ac:dyDescent="0.25">
      <c r="A50" s="15" t="s">
        <v>2414</v>
      </c>
      <c r="B50" s="15" t="s">
        <v>2359</v>
      </c>
      <c r="C50" s="71" t="s">
        <v>2404</v>
      </c>
    </row>
    <row r="51" spans="1:14" ht="30" x14ac:dyDescent="0.25">
      <c r="A51" s="15" t="s">
        <v>2414</v>
      </c>
      <c r="B51" s="15" t="s">
        <v>2360</v>
      </c>
      <c r="C51" s="71" t="s">
        <v>2405</v>
      </c>
    </row>
    <row r="52" spans="1:14" ht="45" x14ac:dyDescent="0.25">
      <c r="A52" s="15" t="s">
        <v>2414</v>
      </c>
      <c r="B52" s="15" t="s">
        <v>2395</v>
      </c>
      <c r="C52" s="71" t="s">
        <v>2406</v>
      </c>
    </row>
    <row r="53" spans="1:14" ht="45" x14ac:dyDescent="0.25">
      <c r="A53" s="15" t="s">
        <v>2414</v>
      </c>
      <c r="B53" s="15" t="s">
        <v>2397</v>
      </c>
      <c r="C53" s="71" t="s">
        <v>2407</v>
      </c>
    </row>
    <row r="54" spans="1:14" s="57" customFormat="1" ht="75" x14ac:dyDescent="0.25">
      <c r="A54" s="15" t="s">
        <v>2</v>
      </c>
      <c r="B54" s="15" t="s">
        <v>2403</v>
      </c>
      <c r="C54" s="71" t="s">
        <v>2428</v>
      </c>
      <c r="D54" s="69" t="s">
        <v>2417</v>
      </c>
    </row>
    <row r="57" spans="1:14" x14ac:dyDescent="0.25">
      <c r="A57" s="65" t="s">
        <v>2398</v>
      </c>
    </row>
    <row r="58" spans="1:14" x14ac:dyDescent="0.25">
      <c r="A58" s="65" t="s">
        <v>2339</v>
      </c>
    </row>
    <row r="59" spans="1:14" x14ac:dyDescent="0.25">
      <c r="A59" s="65" t="s">
        <v>2399</v>
      </c>
    </row>
    <row r="60" spans="1:14" x14ac:dyDescent="0.25">
      <c r="A60" s="65" t="s">
        <v>2427</v>
      </c>
    </row>
    <row r="61" spans="1:14" s="57" customFormat="1" x14ac:dyDescent="0.25">
      <c r="A61" s="65"/>
      <c r="B61" s="15"/>
      <c r="C61" s="15"/>
      <c r="D61" s="67"/>
    </row>
    <row r="62" spans="1:14" x14ac:dyDescent="0.25">
      <c r="A62" s="63" t="s">
        <v>2</v>
      </c>
      <c r="B62" s="70" t="s">
        <v>1316</v>
      </c>
      <c r="E62" s="5" t="s">
        <v>5</v>
      </c>
      <c r="F62" s="6" t="s">
        <v>1610</v>
      </c>
      <c r="I62" s="5" t="s">
        <v>718</v>
      </c>
      <c r="J62" s="6" t="s">
        <v>1610</v>
      </c>
      <c r="M62" s="5" t="s">
        <v>719</v>
      </c>
      <c r="N62" s="6" t="s">
        <v>1610</v>
      </c>
    </row>
    <row r="63" spans="1:14" x14ac:dyDescent="0.25">
      <c r="A63" s="15" t="s">
        <v>7</v>
      </c>
      <c r="B63" s="15" t="s">
        <v>1317</v>
      </c>
      <c r="E63" t="s">
        <v>623</v>
      </c>
      <c r="F63" t="s">
        <v>1609</v>
      </c>
      <c r="I63" t="s">
        <v>623</v>
      </c>
      <c r="J63" t="s">
        <v>1609</v>
      </c>
      <c r="M63" t="s">
        <v>623</v>
      </c>
      <c r="N63" t="s">
        <v>1609</v>
      </c>
    </row>
    <row r="64" spans="1:14" x14ac:dyDescent="0.25">
      <c r="A64" s="15" t="s">
        <v>67</v>
      </c>
      <c r="B64" s="15" t="s">
        <v>1318</v>
      </c>
    </row>
    <row r="65" spans="1:2" x14ac:dyDescent="0.25">
      <c r="A65" s="15" t="s">
        <v>92</v>
      </c>
      <c r="B65" s="15" t="s">
        <v>1319</v>
      </c>
    </row>
    <row r="66" spans="1:2" x14ac:dyDescent="0.25">
      <c r="A66" s="15" t="s">
        <v>155</v>
      </c>
      <c r="B66" s="15" t="s">
        <v>1320</v>
      </c>
    </row>
    <row r="67" spans="1:2" x14ac:dyDescent="0.25">
      <c r="A67" s="15" t="s">
        <v>283</v>
      </c>
      <c r="B67" s="15" t="s">
        <v>1321</v>
      </c>
    </row>
    <row r="70" spans="1:2" x14ac:dyDescent="0.25">
      <c r="A70" s="65" t="s">
        <v>1676</v>
      </c>
    </row>
  </sheetData>
  <mergeCells count="3">
    <mergeCell ref="C18:C22"/>
    <mergeCell ref="C24:C26"/>
    <mergeCell ref="C30:C49"/>
  </mergeCells>
  <hyperlinks>
    <hyperlink ref="A70" r:id="rId1" xr:uid="{FF873AD5-B61C-4DF0-BB8F-92070B55A6C3}"/>
    <hyperlink ref="A57" r:id="rId2" xr:uid="{EEB8A62E-5D74-4F85-AE14-6C6E57020889}"/>
    <hyperlink ref="A58" r:id="rId3" xr:uid="{3B08A5EF-5519-4DE9-8A07-51EF3C6ABCB7}"/>
    <hyperlink ref="A59" r:id="rId4" xr:uid="{5B56DC63-410C-4A41-9015-B03C276D220F}"/>
    <hyperlink ref="D54" location="Categorias_de_Presupuesto" display="Ver pestaña &quot;Deflactor+Dolar+Categoria&quot;" xr:uid="{A1193574-8AB7-439B-B4B2-6C7245745B92}"/>
    <hyperlink ref="A60" r:id="rId5" xr:uid="{7A738B75-6979-406E-AAE5-92277BD09E4C}"/>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FF16-826D-4590-9C9B-BFDF2FB1100A}">
  <dimension ref="A1:BT309"/>
  <sheetViews>
    <sheetView topLeftCell="BA13" workbookViewId="0">
      <selection activeCell="BJ25" sqref="BJ25"/>
    </sheetView>
  </sheetViews>
  <sheetFormatPr baseColWidth="10" defaultColWidth="10.7109375" defaultRowHeight="15" x14ac:dyDescent="0.25"/>
  <cols>
    <col min="62" max="62" width="19.5703125" customWidth="1"/>
    <col min="68" max="68" width="30.7109375" customWidth="1"/>
    <col min="69" max="69" width="32.140625" bestFit="1" customWidth="1"/>
    <col min="70" max="70" width="20.7109375" customWidth="1"/>
    <col min="71" max="71" width="14.42578125" customWidth="1"/>
  </cols>
  <sheetData>
    <row r="1" spans="1:70" x14ac:dyDescent="0.25">
      <c r="A1" s="17" t="s">
        <v>1612</v>
      </c>
      <c r="D1" s="17" t="s">
        <v>1615</v>
      </c>
      <c r="J1" s="17" t="s">
        <v>1618</v>
      </c>
      <c r="M1" s="17" t="s">
        <v>1619</v>
      </c>
      <c r="P1" s="17" t="s">
        <v>1634</v>
      </c>
      <c r="S1" s="17" t="s">
        <v>1618</v>
      </c>
      <c r="V1" s="17" t="s">
        <v>1619</v>
      </c>
      <c r="Y1" s="4" t="s">
        <v>1633</v>
      </c>
      <c r="AQ1" s="4" t="s">
        <v>1646</v>
      </c>
      <c r="BI1" s="17" t="s">
        <v>2396</v>
      </c>
      <c r="BL1" s="58" t="s">
        <v>2403</v>
      </c>
    </row>
    <row r="3" spans="1:70" ht="60" x14ac:dyDescent="0.25">
      <c r="A3" s="18" t="s">
        <v>1613</v>
      </c>
      <c r="B3" s="19" t="s">
        <v>1614</v>
      </c>
      <c r="D3" s="18" t="s">
        <v>1613</v>
      </c>
      <c r="E3" s="19" t="s">
        <v>1616</v>
      </c>
      <c r="G3" s="18" t="s">
        <v>1613</v>
      </c>
      <c r="H3" s="19" t="s">
        <v>1617</v>
      </c>
      <c r="J3" s="24" t="s">
        <v>1620</v>
      </c>
      <c r="K3" s="25" t="s">
        <v>1615</v>
      </c>
      <c r="M3" s="18" t="s">
        <v>1619</v>
      </c>
      <c r="N3" s="19"/>
      <c r="P3" s="18" t="s">
        <v>1613</v>
      </c>
      <c r="Q3" s="19" t="s">
        <v>1635</v>
      </c>
      <c r="S3" s="24" t="s">
        <v>1620</v>
      </c>
      <c r="T3" s="25" t="s">
        <v>1634</v>
      </c>
      <c r="V3" s="18" t="s">
        <v>1619</v>
      </c>
      <c r="W3" s="19"/>
      <c r="BI3" s="49" t="s">
        <v>1613</v>
      </c>
      <c r="BJ3" s="48" t="s">
        <v>2402</v>
      </c>
      <c r="BL3" s="7" t="s">
        <v>0</v>
      </c>
      <c r="BM3" s="7" t="s">
        <v>1</v>
      </c>
      <c r="BN3" s="7" t="s">
        <v>2</v>
      </c>
      <c r="BO3" s="7" t="s">
        <v>3</v>
      </c>
      <c r="BP3" s="7" t="s">
        <v>4</v>
      </c>
      <c r="BQ3" s="7" t="s">
        <v>2397</v>
      </c>
      <c r="BR3" s="7" t="s">
        <v>2411</v>
      </c>
    </row>
    <row r="4" spans="1:70" x14ac:dyDescent="0.25">
      <c r="A4" s="20">
        <v>21916</v>
      </c>
      <c r="B4" s="21">
        <v>4.5209932029445397E-3</v>
      </c>
      <c r="D4" s="20">
        <v>21916</v>
      </c>
      <c r="E4" s="21">
        <v>15939.1402467885</v>
      </c>
      <c r="G4" s="28">
        <f>YEAR(A4)</f>
        <v>1960</v>
      </c>
      <c r="H4" s="22">
        <f>B4/E4</f>
        <v>2.8364097014928097E-7</v>
      </c>
      <c r="J4" s="26" t="s">
        <v>1621</v>
      </c>
      <c r="K4" s="26" t="s">
        <v>1622</v>
      </c>
      <c r="M4" t="s">
        <v>1632</v>
      </c>
      <c r="P4" s="23">
        <v>43101</v>
      </c>
      <c r="Q4" s="21">
        <v>98.98</v>
      </c>
      <c r="S4" s="26" t="s">
        <v>1621</v>
      </c>
      <c r="T4" s="26" t="s">
        <v>1636</v>
      </c>
      <c r="V4" s="3" t="s">
        <v>1645</v>
      </c>
      <c r="BI4" s="53">
        <v>1999</v>
      </c>
      <c r="BJ4" s="52">
        <v>508.897250996016</v>
      </c>
      <c r="BL4" s="3">
        <v>2009</v>
      </c>
      <c r="BM4" s="3" t="s">
        <v>372</v>
      </c>
      <c r="BN4" s="3" t="s">
        <v>92</v>
      </c>
      <c r="BO4" s="3" t="s">
        <v>25</v>
      </c>
      <c r="BP4" s="3" t="s">
        <v>26</v>
      </c>
      <c r="BQ4" s="54">
        <v>60722</v>
      </c>
      <c r="BR4" s="59">
        <f>COUNT($BQ$4:$BQ4) / COUNT($BQ$4:$BQ$292)</f>
        <v>3.4602076124567475E-3</v>
      </c>
    </row>
    <row r="5" spans="1:70" x14ac:dyDescent="0.25">
      <c r="A5" s="20">
        <v>22282</v>
      </c>
      <c r="B5" s="21">
        <v>5.0706704041814602E-3</v>
      </c>
      <c r="D5" s="20">
        <v>22282</v>
      </c>
      <c r="E5" s="21">
        <v>16775.191489039102</v>
      </c>
      <c r="G5" s="28">
        <f t="shared" ref="G5:G63" si="0">YEAR(A5)</f>
        <v>1961</v>
      </c>
      <c r="H5" s="22">
        <f t="shared" ref="H5:H63" si="1">B5/E5</f>
        <v>3.0227198345214911E-7</v>
      </c>
      <c r="J5" s="26" t="s">
        <v>1623</v>
      </c>
      <c r="K5" s="26" t="s">
        <v>1624</v>
      </c>
      <c r="P5" s="23">
        <v>43132</v>
      </c>
      <c r="Q5" s="21">
        <v>99.08</v>
      </c>
      <c r="S5" s="26" t="s">
        <v>1623</v>
      </c>
      <c r="T5" s="26" t="s">
        <v>1637</v>
      </c>
      <c r="BI5" s="53">
        <v>2000</v>
      </c>
      <c r="BJ5" s="52">
        <v>538.87112903225795</v>
      </c>
      <c r="BL5" s="3">
        <v>2011</v>
      </c>
      <c r="BM5" s="3" t="s">
        <v>278</v>
      </c>
      <c r="BN5" s="3" t="s">
        <v>92</v>
      </c>
      <c r="BO5" s="3" t="s">
        <v>36</v>
      </c>
      <c r="BP5" s="3" t="s">
        <v>81</v>
      </c>
      <c r="BQ5" s="54">
        <v>155578</v>
      </c>
      <c r="BR5" s="59">
        <f>COUNT($BQ$4:$BQ5) / COUNT($BQ$4:$BQ$292)</f>
        <v>6.920415224913495E-3</v>
      </c>
    </row>
    <row r="6" spans="1:70" x14ac:dyDescent="0.25">
      <c r="A6" s="20">
        <v>22647</v>
      </c>
      <c r="B6" s="21">
        <v>5.9578934617919802E-3</v>
      </c>
      <c r="D6" s="20">
        <v>22647</v>
      </c>
      <c r="E6" s="21">
        <v>17450.675713235702</v>
      </c>
      <c r="G6" s="28">
        <f t="shared" si="0"/>
        <v>1962</v>
      </c>
      <c r="H6" s="22">
        <f t="shared" si="1"/>
        <v>3.414133389272219E-7</v>
      </c>
      <c r="J6" s="26" t="s">
        <v>1315</v>
      </c>
      <c r="K6" s="26" t="s">
        <v>1625</v>
      </c>
      <c r="P6" s="23">
        <v>43160</v>
      </c>
      <c r="Q6" s="21">
        <v>99.28</v>
      </c>
      <c r="S6" s="26" t="s">
        <v>1315</v>
      </c>
      <c r="T6" s="26" t="s">
        <v>1638</v>
      </c>
      <c r="BI6" s="53">
        <v>2001</v>
      </c>
      <c r="BJ6" s="52">
        <v>634.42850202429202</v>
      </c>
      <c r="BL6" s="3">
        <v>2010</v>
      </c>
      <c r="BM6" s="3" t="s">
        <v>318</v>
      </c>
      <c r="BN6" s="3" t="s">
        <v>7</v>
      </c>
      <c r="BO6" s="3" t="s">
        <v>12</v>
      </c>
      <c r="BP6" s="3" t="s">
        <v>61</v>
      </c>
      <c r="BQ6" s="54">
        <v>220915</v>
      </c>
      <c r="BR6" s="59">
        <f>COUNT($BQ$4:$BQ6) / COUNT($BQ$4:$BQ$292)</f>
        <v>1.0380622837370242E-2</v>
      </c>
    </row>
    <row r="7" spans="1:70" x14ac:dyDescent="0.25">
      <c r="A7" s="20">
        <v>23012</v>
      </c>
      <c r="B7" s="21">
        <v>9.0691295315124005E-3</v>
      </c>
      <c r="D7" s="20">
        <v>23012</v>
      </c>
      <c r="E7" s="21">
        <v>18469.819629671099</v>
      </c>
      <c r="G7" s="28">
        <f t="shared" si="0"/>
        <v>1963</v>
      </c>
      <c r="H7" s="22">
        <f t="shared" si="1"/>
        <v>4.910242608402721E-7</v>
      </c>
      <c r="J7" s="26" t="s">
        <v>1626</v>
      </c>
      <c r="K7" s="26">
        <v>2013</v>
      </c>
      <c r="P7" s="23">
        <v>43191</v>
      </c>
      <c r="Q7" s="21">
        <v>99.55</v>
      </c>
      <c r="S7" s="26" t="s">
        <v>1639</v>
      </c>
      <c r="T7" s="26" t="s">
        <v>1640</v>
      </c>
      <c r="BI7" s="53">
        <v>2002</v>
      </c>
      <c r="BJ7" s="52">
        <v>689.24244979919695</v>
      </c>
      <c r="BL7" s="3">
        <v>2011</v>
      </c>
      <c r="BM7" s="3" t="s">
        <v>276</v>
      </c>
      <c r="BN7" s="3" t="s">
        <v>92</v>
      </c>
      <c r="BO7" s="3" t="s">
        <v>36</v>
      </c>
      <c r="BP7" s="3" t="s">
        <v>81</v>
      </c>
      <c r="BQ7" s="54">
        <v>279270</v>
      </c>
      <c r="BR7" s="59">
        <f>COUNT($BQ$4:$BQ7) / COUNT($BQ$4:$BQ$292)</f>
        <v>1.384083044982699E-2</v>
      </c>
    </row>
    <row r="8" spans="1:70" x14ac:dyDescent="0.25">
      <c r="A8" s="20">
        <v>23377</v>
      </c>
      <c r="B8" s="21">
        <v>1.3759390903476099E-2</v>
      </c>
      <c r="D8" s="20">
        <v>23377</v>
      </c>
      <c r="E8" s="21">
        <v>18942.133651366701</v>
      </c>
      <c r="G8" s="28">
        <f t="shared" si="0"/>
        <v>1964</v>
      </c>
      <c r="H8" s="22">
        <f t="shared" si="1"/>
        <v>7.2639076234600109E-7</v>
      </c>
      <c r="J8" s="26" t="s">
        <v>1627</v>
      </c>
      <c r="K8" s="27">
        <v>43908</v>
      </c>
      <c r="P8" s="23">
        <v>43221</v>
      </c>
      <c r="Q8" s="21">
        <v>99.81</v>
      </c>
      <c r="S8" s="26" t="s">
        <v>1626</v>
      </c>
      <c r="T8" s="26" t="s">
        <v>1641</v>
      </c>
      <c r="BI8" s="53">
        <v>2003</v>
      </c>
      <c r="BJ8" s="52">
        <v>691.53556000000003</v>
      </c>
      <c r="BL8" s="3">
        <v>2015</v>
      </c>
      <c r="BM8" s="3" t="s">
        <v>163</v>
      </c>
      <c r="BN8" s="3" t="s">
        <v>7</v>
      </c>
      <c r="BO8" s="3" t="s">
        <v>164</v>
      </c>
      <c r="BP8" s="3" t="s">
        <v>165</v>
      </c>
      <c r="BQ8" s="54">
        <v>314865</v>
      </c>
      <c r="BR8" s="59">
        <f>COUNT($BQ$4:$BQ8) / COUNT($BQ$4:$BQ$292)</f>
        <v>1.7301038062283738E-2</v>
      </c>
    </row>
    <row r="9" spans="1:70" x14ac:dyDescent="0.25">
      <c r="A9" s="20">
        <v>23743</v>
      </c>
      <c r="B9" s="21">
        <v>1.9285068092797199E-2</v>
      </c>
      <c r="D9" s="20">
        <v>23743</v>
      </c>
      <c r="E9" s="21">
        <v>19122.135539409399</v>
      </c>
      <c r="G9" s="28">
        <f t="shared" si="0"/>
        <v>1965</v>
      </c>
      <c r="H9" s="22">
        <f t="shared" si="1"/>
        <v>1.0085206253795247E-6</v>
      </c>
      <c r="J9" s="26" t="s">
        <v>1628</v>
      </c>
      <c r="K9" s="26">
        <v>1960</v>
      </c>
      <c r="P9" s="23">
        <v>43252</v>
      </c>
      <c r="Q9" s="21">
        <v>99.9</v>
      </c>
      <c r="S9" s="26" t="s">
        <v>1627</v>
      </c>
      <c r="T9" s="27">
        <v>44082</v>
      </c>
      <c r="BI9" s="53">
        <v>2004</v>
      </c>
      <c r="BJ9" s="52">
        <v>609.54996031745998</v>
      </c>
      <c r="BL9" s="3">
        <v>2013</v>
      </c>
      <c r="BM9" s="3" t="s">
        <v>2358</v>
      </c>
      <c r="BN9" s="3" t="s">
        <v>7</v>
      </c>
      <c r="BO9" s="3" t="s">
        <v>20</v>
      </c>
      <c r="BP9" s="3" t="s">
        <v>21</v>
      </c>
      <c r="BQ9" s="54">
        <v>378363</v>
      </c>
      <c r="BR9" s="59">
        <f>COUNT($BQ$4:$BQ9) / COUNT($BQ$4:$BQ$292)</f>
        <v>2.0761245674740483E-2</v>
      </c>
    </row>
    <row r="10" spans="1:70" x14ac:dyDescent="0.25">
      <c r="A10" s="20">
        <v>24108</v>
      </c>
      <c r="B10" s="21">
        <v>2.7583282831624902E-2</v>
      </c>
      <c r="D10" s="20">
        <v>24108</v>
      </c>
      <c r="E10" s="21">
        <v>21270.7450507541</v>
      </c>
      <c r="G10" s="28">
        <f t="shared" si="0"/>
        <v>1966</v>
      </c>
      <c r="H10" s="22">
        <f t="shared" si="1"/>
        <v>1.2967708825341314E-6</v>
      </c>
      <c r="J10" s="26" t="s">
        <v>1629</v>
      </c>
      <c r="K10" s="26">
        <v>2019</v>
      </c>
      <c r="P10" s="23">
        <v>43282</v>
      </c>
      <c r="Q10" s="21">
        <v>100.22</v>
      </c>
      <c r="S10" s="26" t="s">
        <v>1628</v>
      </c>
      <c r="T10" s="26" t="s">
        <v>1642</v>
      </c>
      <c r="BI10" s="53">
        <v>2005</v>
      </c>
      <c r="BJ10" s="52">
        <v>559.86277777777798</v>
      </c>
      <c r="BL10" s="3">
        <v>2010</v>
      </c>
      <c r="BM10" s="3" t="s">
        <v>325</v>
      </c>
      <c r="BN10" s="3" t="s">
        <v>92</v>
      </c>
      <c r="BO10" s="3" t="s">
        <v>36</v>
      </c>
      <c r="BP10" s="3" t="s">
        <v>37</v>
      </c>
      <c r="BQ10" s="54">
        <v>517865</v>
      </c>
      <c r="BR10" s="59">
        <f>COUNT($BQ$4:$BQ10) / COUNT($BQ$4:$BQ$292)</f>
        <v>2.4221453287197232E-2</v>
      </c>
    </row>
    <row r="11" spans="1:70" x14ac:dyDescent="0.25">
      <c r="A11" s="20">
        <v>24473</v>
      </c>
      <c r="B11" s="21">
        <v>3.5767280686673897E-2</v>
      </c>
      <c r="D11" s="20">
        <v>24473</v>
      </c>
      <c r="E11" s="21">
        <v>22039.895160951201</v>
      </c>
      <c r="G11" s="28">
        <f t="shared" si="0"/>
        <v>1967</v>
      </c>
      <c r="H11" s="22">
        <f t="shared" si="1"/>
        <v>1.622842596367879E-6</v>
      </c>
      <c r="J11" s="26" t="s">
        <v>1630</v>
      </c>
      <c r="K11" s="26" t="s">
        <v>1631</v>
      </c>
      <c r="P11" s="23">
        <v>43313</v>
      </c>
      <c r="Q11" s="21">
        <v>100.31</v>
      </c>
      <c r="S11" s="26" t="s">
        <v>1629</v>
      </c>
      <c r="T11" s="26" t="s">
        <v>1643</v>
      </c>
      <c r="BI11" s="53">
        <v>2006</v>
      </c>
      <c r="BJ11" s="52">
        <v>530.26305220883603</v>
      </c>
      <c r="BL11" s="3">
        <v>2011</v>
      </c>
      <c r="BM11" s="3" t="s">
        <v>279</v>
      </c>
      <c r="BN11" s="3" t="s">
        <v>92</v>
      </c>
      <c r="BO11" s="3" t="s">
        <v>36</v>
      </c>
      <c r="BP11" s="3" t="s">
        <v>81</v>
      </c>
      <c r="BQ11" s="54">
        <v>523307</v>
      </c>
      <c r="BR11" s="59">
        <f>COUNT($BQ$4:$BQ11) / COUNT($BQ$4:$BQ$292)</f>
        <v>2.768166089965398E-2</v>
      </c>
    </row>
    <row r="12" spans="1:70" x14ac:dyDescent="0.25">
      <c r="A12" s="20">
        <v>24838</v>
      </c>
      <c r="B12" s="21">
        <v>4.9452883586818298E-2</v>
      </c>
      <c r="D12" s="20">
        <v>24838</v>
      </c>
      <c r="E12" s="21">
        <v>22831.571132942201</v>
      </c>
      <c r="G12" s="28">
        <f t="shared" si="0"/>
        <v>1968</v>
      </c>
      <c r="H12" s="22">
        <f t="shared" si="1"/>
        <v>2.1659868827627864E-6</v>
      </c>
      <c r="P12" s="23">
        <v>43344</v>
      </c>
      <c r="Q12" s="21">
        <v>100.51</v>
      </c>
      <c r="S12" s="26" t="s">
        <v>1630</v>
      </c>
      <c r="T12" s="26" t="s">
        <v>1644</v>
      </c>
      <c r="BI12" s="53">
        <v>2007</v>
      </c>
      <c r="BJ12" s="52">
        <v>522.69068825910904</v>
      </c>
      <c r="BL12" s="3">
        <v>2014</v>
      </c>
      <c r="BM12" s="3" t="s">
        <v>205</v>
      </c>
      <c r="BN12" s="3" t="s">
        <v>7</v>
      </c>
      <c r="BO12" s="3" t="s">
        <v>36</v>
      </c>
      <c r="BP12" s="3" t="s">
        <v>81</v>
      </c>
      <c r="BQ12" s="54">
        <v>547789</v>
      </c>
      <c r="BR12" s="59">
        <f>COUNT($BQ$4:$BQ12) / COUNT($BQ$4:$BQ$292)</f>
        <v>3.1141868512110725E-2</v>
      </c>
    </row>
    <row r="13" spans="1:70" x14ac:dyDescent="0.25">
      <c r="A13" s="20">
        <v>25204</v>
      </c>
      <c r="B13" s="21">
        <v>7.2043045877725698E-2</v>
      </c>
      <c r="D13" s="20">
        <v>25204</v>
      </c>
      <c r="E13" s="21">
        <v>23730.674586489698</v>
      </c>
      <c r="G13" s="28">
        <f t="shared" si="0"/>
        <v>1969</v>
      </c>
      <c r="H13" s="22">
        <f t="shared" si="1"/>
        <v>3.0358616909584654E-6</v>
      </c>
      <c r="P13" s="23">
        <v>43374</v>
      </c>
      <c r="Q13" s="21">
        <v>100.91</v>
      </c>
      <c r="BI13" s="53">
        <v>2008</v>
      </c>
      <c r="BJ13" s="52">
        <v>521.78956000000005</v>
      </c>
      <c r="BL13" s="3">
        <v>2014</v>
      </c>
      <c r="BM13" s="3" t="s">
        <v>197</v>
      </c>
      <c r="BN13" s="3" t="s">
        <v>7</v>
      </c>
      <c r="BO13" s="3" t="s">
        <v>36</v>
      </c>
      <c r="BP13" s="3" t="s">
        <v>81</v>
      </c>
      <c r="BQ13" s="54">
        <v>552447</v>
      </c>
      <c r="BR13" s="59">
        <f>COUNT($BQ$4:$BQ13) / COUNT($BQ$4:$BQ$292)</f>
        <v>3.4602076124567477E-2</v>
      </c>
    </row>
    <row r="14" spans="1:70" x14ac:dyDescent="0.25">
      <c r="A14" s="20">
        <v>25569</v>
      </c>
      <c r="B14" s="21">
        <v>0.103127324280625</v>
      </c>
      <c r="D14" s="20">
        <v>25569</v>
      </c>
      <c r="E14" s="21">
        <v>24164.700786703499</v>
      </c>
      <c r="G14" s="28">
        <f t="shared" si="0"/>
        <v>1970</v>
      </c>
      <c r="H14" s="22">
        <f t="shared" si="1"/>
        <v>4.2676847187518363E-6</v>
      </c>
      <c r="P14" s="23">
        <v>43405</v>
      </c>
      <c r="Q14" s="21">
        <v>100.82</v>
      </c>
      <c r="BI14" s="53">
        <v>2009</v>
      </c>
      <c r="BJ14" s="52">
        <v>559.66732000000002</v>
      </c>
      <c r="BL14" s="3">
        <v>2009</v>
      </c>
      <c r="BM14" s="3" t="s">
        <v>387</v>
      </c>
      <c r="BN14" s="3" t="s">
        <v>7</v>
      </c>
      <c r="BO14" s="3" t="s">
        <v>290</v>
      </c>
      <c r="BP14" s="3" t="s">
        <v>291</v>
      </c>
      <c r="BQ14" s="54">
        <v>569267</v>
      </c>
      <c r="BR14" s="59">
        <f>COUNT($BQ$4:$BQ14) / COUNT($BQ$4:$BQ$292)</f>
        <v>3.8062283737024222E-2</v>
      </c>
    </row>
    <row r="15" spans="1:70" x14ac:dyDescent="0.25">
      <c r="A15" s="20">
        <v>25934</v>
      </c>
      <c r="B15" s="21">
        <v>0.132786177206515</v>
      </c>
      <c r="D15" s="20">
        <v>25934</v>
      </c>
      <c r="E15" s="21">
        <v>26441.664715937201</v>
      </c>
      <c r="G15" s="28">
        <f t="shared" si="0"/>
        <v>1971</v>
      </c>
      <c r="H15" s="22">
        <f t="shared" si="1"/>
        <v>5.0218539049275788E-6</v>
      </c>
      <c r="P15" s="23">
        <v>43435</v>
      </c>
      <c r="Q15" s="21">
        <v>100.64</v>
      </c>
      <c r="BI15" s="53">
        <v>2010</v>
      </c>
      <c r="BJ15" s="52">
        <v>510.37664000000001</v>
      </c>
      <c r="BL15" s="3">
        <v>2009</v>
      </c>
      <c r="BM15" s="3" t="s">
        <v>371</v>
      </c>
      <c r="BN15" s="3" t="s">
        <v>7</v>
      </c>
      <c r="BO15" s="3" t="s">
        <v>290</v>
      </c>
      <c r="BP15" s="3" t="s">
        <v>291</v>
      </c>
      <c r="BQ15" s="54">
        <v>569267</v>
      </c>
      <c r="BR15" s="59">
        <f>COUNT($BQ$4:$BQ15) / COUNT($BQ$4:$BQ$292)</f>
        <v>4.1522491349480967E-2</v>
      </c>
    </row>
    <row r="16" spans="1:70" x14ac:dyDescent="0.25">
      <c r="A16" s="20">
        <v>26299</v>
      </c>
      <c r="B16" s="21">
        <v>0.24655942367578401</v>
      </c>
      <c r="D16" s="20">
        <v>26299</v>
      </c>
      <c r="E16" s="21">
        <v>26171.9735397162</v>
      </c>
      <c r="G16" s="28">
        <f t="shared" si="0"/>
        <v>1972</v>
      </c>
      <c r="H16" s="22">
        <f t="shared" si="1"/>
        <v>9.4207425092199459E-6</v>
      </c>
      <c r="P16" s="23">
        <v>43466</v>
      </c>
      <c r="Q16" s="21">
        <v>100.75</v>
      </c>
      <c r="BI16" s="53">
        <v>2011</v>
      </c>
      <c r="BJ16" s="52">
        <v>483.36404761904799</v>
      </c>
      <c r="BL16" s="3">
        <v>2009</v>
      </c>
      <c r="BM16" s="3" t="s">
        <v>386</v>
      </c>
      <c r="BN16" s="3" t="s">
        <v>7</v>
      </c>
      <c r="BO16" s="3" t="s">
        <v>290</v>
      </c>
      <c r="BP16" s="3" t="s">
        <v>291</v>
      </c>
      <c r="BQ16" s="54">
        <v>569267</v>
      </c>
      <c r="BR16" s="59">
        <f>COUNT($BQ$4:$BQ16) / COUNT($BQ$4:$BQ$292)</f>
        <v>4.4982698961937718E-2</v>
      </c>
    </row>
    <row r="17" spans="1:70" x14ac:dyDescent="0.25">
      <c r="A17" s="20">
        <v>26665</v>
      </c>
      <c r="B17" s="21">
        <v>1.20547630438486</v>
      </c>
      <c r="D17" s="20">
        <v>26665</v>
      </c>
      <c r="E17" s="21">
        <v>24855.719990956899</v>
      </c>
      <c r="G17" s="28">
        <f t="shared" si="0"/>
        <v>1973</v>
      </c>
      <c r="H17" s="22">
        <f t="shared" si="1"/>
        <v>4.8498949329306933E-5</v>
      </c>
      <c r="P17" s="23">
        <v>43497</v>
      </c>
      <c r="Q17" s="21">
        <v>100.79</v>
      </c>
      <c r="BI17" s="53">
        <v>2012</v>
      </c>
      <c r="BJ17" s="52">
        <v>486.74655870445298</v>
      </c>
      <c r="BL17" s="3">
        <v>2009</v>
      </c>
      <c r="BM17" s="3" t="s">
        <v>385</v>
      </c>
      <c r="BN17" s="3" t="s">
        <v>7</v>
      </c>
      <c r="BO17" s="3" t="s">
        <v>290</v>
      </c>
      <c r="BP17" s="3" t="s">
        <v>291</v>
      </c>
      <c r="BQ17" s="54">
        <v>569267</v>
      </c>
      <c r="BR17" s="59">
        <f>COUNT($BQ$4:$BQ17) / COUNT($BQ$4:$BQ$292)</f>
        <v>4.8442906574394463E-2</v>
      </c>
    </row>
    <row r="18" spans="1:70" x14ac:dyDescent="0.25">
      <c r="A18" s="20">
        <v>27030</v>
      </c>
      <c r="B18" s="21">
        <v>9.6095276208550509</v>
      </c>
      <c r="D18" s="20">
        <v>27030</v>
      </c>
      <c r="E18" s="21">
        <v>25447.820358796998</v>
      </c>
      <c r="G18" s="28">
        <f t="shared" si="0"/>
        <v>1974</v>
      </c>
      <c r="H18" s="22">
        <f t="shared" si="1"/>
        <v>3.7761692299643866E-4</v>
      </c>
      <c r="P18" s="23">
        <v>43525</v>
      </c>
      <c r="Q18" s="21">
        <v>101.27</v>
      </c>
      <c r="BI18" s="53">
        <v>2013</v>
      </c>
      <c r="BJ18" s="52">
        <v>494.99516129032298</v>
      </c>
      <c r="BL18" s="3">
        <v>2020</v>
      </c>
      <c r="BM18" s="3" t="s">
        <v>1299</v>
      </c>
      <c r="BN18" s="3" t="s">
        <v>7</v>
      </c>
      <c r="BO18" s="3" t="s">
        <v>36</v>
      </c>
      <c r="BP18" s="3" t="s">
        <v>1300</v>
      </c>
      <c r="BQ18" s="54">
        <v>638124</v>
      </c>
      <c r="BR18" s="59">
        <f>COUNT($BQ$4:$BQ18) / COUNT($BQ$4:$BQ$292)</f>
        <v>5.1903114186851208E-2</v>
      </c>
    </row>
    <row r="19" spans="1:70" x14ac:dyDescent="0.25">
      <c r="A19" s="20">
        <v>27395</v>
      </c>
      <c r="B19" s="21">
        <v>37.425087222906299</v>
      </c>
      <c r="D19" s="20">
        <v>27395</v>
      </c>
      <c r="E19" s="21">
        <v>22161.9720785309</v>
      </c>
      <c r="G19" s="28">
        <f t="shared" si="0"/>
        <v>1975</v>
      </c>
      <c r="H19" s="22">
        <f t="shared" si="1"/>
        <v>1.6887074440077167E-3</v>
      </c>
      <c r="P19" s="23">
        <v>43556</v>
      </c>
      <c r="Q19" s="21">
        <v>101.54</v>
      </c>
      <c r="BI19" s="53">
        <v>2014</v>
      </c>
      <c r="BJ19" s="52">
        <v>570.00590361445802</v>
      </c>
      <c r="BL19" s="3">
        <v>2016</v>
      </c>
      <c r="BM19" s="3" t="s">
        <v>137</v>
      </c>
      <c r="BN19" s="3" t="s">
        <v>67</v>
      </c>
      <c r="BO19" s="3" t="s">
        <v>138</v>
      </c>
      <c r="BP19" s="3" t="s">
        <v>139</v>
      </c>
      <c r="BQ19" s="54">
        <v>736135</v>
      </c>
      <c r="BR19" s="59">
        <f>COUNT($BQ$4:$BQ19) / COUNT($BQ$4:$BQ$292)</f>
        <v>5.536332179930796E-2</v>
      </c>
    </row>
    <row r="20" spans="1:70" x14ac:dyDescent="0.25">
      <c r="A20" s="20">
        <v>27760</v>
      </c>
      <c r="B20" s="21">
        <v>134.962124459786</v>
      </c>
      <c r="D20" s="20">
        <v>27760</v>
      </c>
      <c r="E20" s="21">
        <v>23011.348276437799</v>
      </c>
      <c r="G20" s="28">
        <f t="shared" si="0"/>
        <v>1976</v>
      </c>
      <c r="H20" s="22">
        <f t="shared" si="1"/>
        <v>5.865024632128092E-3</v>
      </c>
      <c r="P20" s="23">
        <v>43586</v>
      </c>
      <c r="Q20" s="21">
        <v>102.15</v>
      </c>
      <c r="BI20" s="53">
        <v>2015</v>
      </c>
      <c r="BJ20" s="52">
        <v>654.24900000000002</v>
      </c>
      <c r="BL20" s="3">
        <v>2010</v>
      </c>
      <c r="BM20" s="3" t="s">
        <v>319</v>
      </c>
      <c r="BN20" s="3" t="s">
        <v>7</v>
      </c>
      <c r="BO20" s="3" t="s">
        <v>12</v>
      </c>
      <c r="BP20" s="3" t="s">
        <v>61</v>
      </c>
      <c r="BQ20" s="54">
        <v>898589</v>
      </c>
      <c r="BR20" s="59">
        <f>COUNT($BQ$4:$BQ20) / COUNT($BQ$4:$BQ$292)</f>
        <v>5.8823529411764705E-2</v>
      </c>
    </row>
    <row r="21" spans="1:70" x14ac:dyDescent="0.25">
      <c r="A21" s="20">
        <v>28126</v>
      </c>
      <c r="B21" s="21">
        <v>300.76072430628699</v>
      </c>
      <c r="D21" s="20">
        <v>28126</v>
      </c>
      <c r="E21" s="21">
        <v>25414.811434632498</v>
      </c>
      <c r="G21" s="28">
        <f t="shared" si="0"/>
        <v>1977</v>
      </c>
      <c r="H21" s="22">
        <f t="shared" si="1"/>
        <v>1.1834072626501706E-2</v>
      </c>
      <c r="P21" s="23">
        <v>43617</v>
      </c>
      <c r="Q21" s="21">
        <v>102.2</v>
      </c>
      <c r="BI21" s="53">
        <v>2016</v>
      </c>
      <c r="BJ21" s="52">
        <v>676.83242063492003</v>
      </c>
      <c r="BL21" s="3">
        <v>2010</v>
      </c>
      <c r="BM21" s="3" t="s">
        <v>324</v>
      </c>
      <c r="BN21" s="3" t="s">
        <v>92</v>
      </c>
      <c r="BO21" s="3" t="s">
        <v>36</v>
      </c>
      <c r="BP21" s="3" t="s">
        <v>37</v>
      </c>
      <c r="BQ21" s="54">
        <v>1005648</v>
      </c>
      <c r="BR21" s="59">
        <f>COUNT($BQ$4:$BQ21) / COUNT($BQ$4:$BQ$292)</f>
        <v>6.228373702422145E-2</v>
      </c>
    </row>
    <row r="22" spans="1:70" x14ac:dyDescent="0.25">
      <c r="A22" s="20">
        <v>28491</v>
      </c>
      <c r="B22" s="21">
        <v>506.241301247058</v>
      </c>
      <c r="D22" s="20">
        <v>28491</v>
      </c>
      <c r="E22" s="21">
        <v>27372.032394184898</v>
      </c>
      <c r="G22" s="28">
        <f t="shared" si="0"/>
        <v>1978</v>
      </c>
      <c r="H22" s="22">
        <f t="shared" si="1"/>
        <v>1.8494837867962167E-2</v>
      </c>
      <c r="P22" s="23">
        <v>43647</v>
      </c>
      <c r="Q22" s="21">
        <v>102.43</v>
      </c>
      <c r="BI22" s="53">
        <v>2017</v>
      </c>
      <c r="BJ22" s="52">
        <v>649.32878542510002</v>
      </c>
      <c r="BL22" s="3">
        <v>2009</v>
      </c>
      <c r="BM22" s="3" t="s">
        <v>361</v>
      </c>
      <c r="BN22" s="3" t="s">
        <v>155</v>
      </c>
      <c r="BO22" s="3" t="s">
        <v>40</v>
      </c>
      <c r="BP22" s="3" t="s">
        <v>41</v>
      </c>
      <c r="BQ22" s="54">
        <v>1129255</v>
      </c>
      <c r="BR22" s="59">
        <f>COUNT($BQ$4:$BQ22) / COUNT($BQ$4:$BQ$292)</f>
        <v>6.5743944636678195E-2</v>
      </c>
    </row>
    <row r="23" spans="1:70" x14ac:dyDescent="0.25">
      <c r="A23" s="20">
        <v>28856</v>
      </c>
      <c r="B23" s="21">
        <v>812.18771274474898</v>
      </c>
      <c r="D23" s="20">
        <v>28856</v>
      </c>
      <c r="E23" s="21">
        <v>29676.293479917102</v>
      </c>
      <c r="G23" s="28">
        <f t="shared" si="0"/>
        <v>1979</v>
      </c>
      <c r="H23" s="22">
        <f t="shared" si="1"/>
        <v>2.736823293968239E-2</v>
      </c>
      <c r="P23" s="23">
        <v>43678</v>
      </c>
      <c r="Q23" s="21">
        <v>102.62</v>
      </c>
      <c r="BI23" s="53">
        <v>2018</v>
      </c>
      <c r="BJ23" s="52">
        <v>640.29077235772399</v>
      </c>
      <c r="BL23" s="3">
        <v>2014</v>
      </c>
      <c r="BM23" s="3" t="s">
        <v>186</v>
      </c>
      <c r="BN23" s="3" t="s">
        <v>92</v>
      </c>
      <c r="BO23" s="3" t="s">
        <v>25</v>
      </c>
      <c r="BP23" s="3" t="s">
        <v>29</v>
      </c>
      <c r="BQ23" s="54">
        <v>1247678</v>
      </c>
      <c r="BR23" s="59">
        <f>COUNT($BQ$4:$BQ23) / COUNT($BQ$4:$BQ$292)</f>
        <v>6.9204152249134954E-2</v>
      </c>
    </row>
    <row r="24" spans="1:70" x14ac:dyDescent="0.25">
      <c r="A24" s="20">
        <v>29221</v>
      </c>
      <c r="B24" s="21">
        <v>1132.4316850482201</v>
      </c>
      <c r="D24" s="20">
        <v>29221</v>
      </c>
      <c r="E24" s="21">
        <v>32046.4264949918</v>
      </c>
      <c r="G24" s="28">
        <f t="shared" si="0"/>
        <v>1980</v>
      </c>
      <c r="H24" s="22">
        <f t="shared" si="1"/>
        <v>3.5337221927855073E-2</v>
      </c>
      <c r="P24" s="23">
        <v>43709</v>
      </c>
      <c r="Q24" s="21">
        <v>102.63</v>
      </c>
      <c r="BI24" s="53">
        <v>2019</v>
      </c>
      <c r="BJ24" s="52">
        <v>702.63104838709705</v>
      </c>
      <c r="BL24" s="3">
        <v>2014</v>
      </c>
      <c r="BM24" s="3" t="s">
        <v>191</v>
      </c>
      <c r="BN24" s="3" t="s">
        <v>7</v>
      </c>
      <c r="BO24" s="3" t="s">
        <v>36</v>
      </c>
      <c r="BP24" s="3" t="s">
        <v>37</v>
      </c>
      <c r="BQ24" s="54">
        <v>1264899</v>
      </c>
      <c r="BR24" s="59">
        <f>COUNT($BQ$4:$BQ24) / COUNT($BQ$4:$BQ$292)</f>
        <v>7.2664359861591699E-2</v>
      </c>
    </row>
    <row r="25" spans="1:70" x14ac:dyDescent="0.25">
      <c r="A25" s="20">
        <v>29587</v>
      </c>
      <c r="B25" s="21">
        <v>1345.8852437082101</v>
      </c>
      <c r="D25" s="20">
        <v>29587</v>
      </c>
      <c r="E25" s="21">
        <v>34137.5745127255</v>
      </c>
      <c r="G25" s="28">
        <f t="shared" si="0"/>
        <v>1981</v>
      </c>
      <c r="H25" s="22">
        <f t="shared" si="1"/>
        <v>3.9425333021433702E-2</v>
      </c>
      <c r="P25" s="23">
        <v>43739</v>
      </c>
      <c r="Q25" s="21">
        <v>103.47</v>
      </c>
      <c r="BI25" s="51">
        <v>2020</v>
      </c>
      <c r="BJ25" s="50">
        <v>792.22183266932302</v>
      </c>
      <c r="BL25" s="3">
        <v>2018</v>
      </c>
      <c r="BM25" s="3" t="s">
        <v>59</v>
      </c>
      <c r="BN25" s="3" t="s">
        <v>7</v>
      </c>
      <c r="BO25" s="3" t="s">
        <v>12</v>
      </c>
      <c r="BP25" s="3" t="s">
        <v>58</v>
      </c>
      <c r="BQ25" s="54">
        <v>1282491</v>
      </c>
      <c r="BR25" s="59">
        <f>COUNT($BQ$4:$BQ25) / COUNT($BQ$4:$BQ$292)</f>
        <v>7.6124567474048443E-2</v>
      </c>
    </row>
    <row r="26" spans="1:70" x14ac:dyDescent="0.25">
      <c r="A26" s="20">
        <v>29952</v>
      </c>
      <c r="B26" s="21">
        <v>1289.3412230643301</v>
      </c>
      <c r="D26" s="20">
        <v>29952</v>
      </c>
      <c r="E26" s="21">
        <v>30377.5579154847</v>
      </c>
      <c r="G26" s="28">
        <f t="shared" si="0"/>
        <v>1982</v>
      </c>
      <c r="H26" s="22">
        <f t="shared" si="1"/>
        <v>4.2443873422988339E-2</v>
      </c>
      <c r="P26" s="23">
        <v>43770</v>
      </c>
      <c r="Q26" s="21">
        <v>103.55</v>
      </c>
      <c r="BL26" s="3">
        <v>2018</v>
      </c>
      <c r="BM26" s="3" t="s">
        <v>60</v>
      </c>
      <c r="BN26" s="3" t="s">
        <v>7</v>
      </c>
      <c r="BO26" s="3" t="s">
        <v>12</v>
      </c>
      <c r="BP26" s="3" t="s">
        <v>61</v>
      </c>
      <c r="BQ26" s="54">
        <v>1651222</v>
      </c>
      <c r="BR26" s="59">
        <f>COUNT($BQ$4:$BQ26) / COUNT($BQ$4:$BQ$292)</f>
        <v>7.9584775086505188E-2</v>
      </c>
    </row>
    <row r="27" spans="1:70" x14ac:dyDescent="0.25">
      <c r="A27" s="20">
        <v>30317</v>
      </c>
      <c r="B27" s="21">
        <v>1603.8460282636299</v>
      </c>
      <c r="D27" s="20">
        <v>30317</v>
      </c>
      <c r="E27" s="21">
        <v>28853.388089708798</v>
      </c>
      <c r="G27" s="28">
        <f t="shared" si="0"/>
        <v>1983</v>
      </c>
      <c r="H27" s="22">
        <f t="shared" si="1"/>
        <v>5.5586055380292661E-2</v>
      </c>
      <c r="P27" s="23">
        <v>43800</v>
      </c>
      <c r="Q27" s="21">
        <v>103.66</v>
      </c>
      <c r="BL27" s="3">
        <v>2019</v>
      </c>
      <c r="BM27" s="3" t="s">
        <v>34</v>
      </c>
      <c r="BN27" s="3" t="s">
        <v>7</v>
      </c>
      <c r="BO27" s="3" t="s">
        <v>8</v>
      </c>
      <c r="BP27" s="3" t="s">
        <v>9</v>
      </c>
      <c r="BQ27" s="54">
        <v>1656262</v>
      </c>
      <c r="BR27" s="59">
        <f>COUNT($BQ$4:$BQ27) / COUNT($BQ$4:$BQ$292)</f>
        <v>8.3044982698961933E-2</v>
      </c>
    </row>
    <row r="28" spans="1:70" x14ac:dyDescent="0.25">
      <c r="A28" s="20">
        <v>30682</v>
      </c>
      <c r="B28" s="21">
        <v>1932.4265062177701</v>
      </c>
      <c r="D28" s="20">
        <v>30682</v>
      </c>
      <c r="E28" s="21">
        <v>30037.439741358801</v>
      </c>
      <c r="G28" s="28">
        <f t="shared" si="0"/>
        <v>1984</v>
      </c>
      <c r="H28" s="22">
        <f t="shared" si="1"/>
        <v>6.4333928685572889E-2</v>
      </c>
      <c r="P28" s="23">
        <v>43831</v>
      </c>
      <c r="Q28" s="21">
        <v>104.24</v>
      </c>
      <c r="BI28" s="4" t="s">
        <v>2401</v>
      </c>
      <c r="BL28" s="30">
        <v>2019</v>
      </c>
      <c r="BM28" s="30" t="s">
        <v>6</v>
      </c>
      <c r="BN28" s="30" t="s">
        <v>7</v>
      </c>
      <c r="BO28" s="30" t="s">
        <v>8</v>
      </c>
      <c r="BP28" s="30" t="s">
        <v>9</v>
      </c>
      <c r="BQ28" s="54">
        <v>1656262</v>
      </c>
      <c r="BR28" s="59">
        <f>COUNT($BQ$4:$BQ28) / COUNT($BQ$4:$BQ$292)</f>
        <v>8.6505190311418678E-2</v>
      </c>
    </row>
    <row r="29" spans="1:70" x14ac:dyDescent="0.25">
      <c r="A29" s="20">
        <v>31048</v>
      </c>
      <c r="B29" s="21">
        <v>2847.6861443614898</v>
      </c>
      <c r="D29" s="20">
        <v>31048</v>
      </c>
      <c r="E29" s="21">
        <v>31241.915904211</v>
      </c>
      <c r="G29" s="28">
        <f t="shared" si="0"/>
        <v>1985</v>
      </c>
      <c r="H29" s="22">
        <f t="shared" si="1"/>
        <v>9.1149536190181568E-2</v>
      </c>
      <c r="P29" s="23">
        <v>43862</v>
      </c>
      <c r="Q29" s="21">
        <v>104.71</v>
      </c>
      <c r="BI29" s="4" t="s">
        <v>2400</v>
      </c>
      <c r="BL29" s="30">
        <v>2019</v>
      </c>
      <c r="BM29" s="30" t="s">
        <v>15</v>
      </c>
      <c r="BN29" s="30" t="s">
        <v>7</v>
      </c>
      <c r="BO29" s="30" t="s">
        <v>8</v>
      </c>
      <c r="BP29" s="30" t="s">
        <v>9</v>
      </c>
      <c r="BQ29" s="54">
        <v>1656262</v>
      </c>
      <c r="BR29" s="59">
        <f>COUNT($BQ$4:$BQ29) / COUNT($BQ$4:$BQ$292)</f>
        <v>8.9965397923875437E-2</v>
      </c>
    </row>
    <row r="30" spans="1:70" x14ac:dyDescent="0.25">
      <c r="A30" s="20">
        <v>31413</v>
      </c>
      <c r="B30" s="21">
        <v>3644.6500486484401</v>
      </c>
      <c r="D30" s="20">
        <v>31413</v>
      </c>
      <c r="E30" s="21">
        <v>32922.010017148998</v>
      </c>
      <c r="G30" s="28">
        <f t="shared" si="0"/>
        <v>1986</v>
      </c>
      <c r="H30" s="22">
        <f t="shared" si="1"/>
        <v>0.11070557498615517</v>
      </c>
      <c r="P30" s="23">
        <v>43891</v>
      </c>
      <c r="Q30" s="21">
        <v>105.06</v>
      </c>
      <c r="BL30" s="3">
        <v>2010</v>
      </c>
      <c r="BM30" s="3" t="s">
        <v>317</v>
      </c>
      <c r="BN30" s="3" t="s">
        <v>7</v>
      </c>
      <c r="BO30" s="3" t="s">
        <v>12</v>
      </c>
      <c r="BP30" s="3" t="s">
        <v>61</v>
      </c>
      <c r="BQ30" s="54">
        <v>1754975</v>
      </c>
      <c r="BR30" s="59">
        <f>COUNT($BQ$4:$BQ30) / COUNT($BQ$4:$BQ$292)</f>
        <v>9.3425605536332182E-2</v>
      </c>
    </row>
    <row r="31" spans="1:70" x14ac:dyDescent="0.25">
      <c r="A31" s="20">
        <v>31778</v>
      </c>
      <c r="B31" s="21">
        <v>4883.0590000743196</v>
      </c>
      <c r="D31" s="20">
        <v>31778</v>
      </c>
      <c r="E31" s="21">
        <v>35048.926113231697</v>
      </c>
      <c r="G31" s="28">
        <f t="shared" si="0"/>
        <v>1987</v>
      </c>
      <c r="H31" s="22">
        <f t="shared" si="1"/>
        <v>0.13932121584264071</v>
      </c>
      <c r="P31" s="23">
        <v>43922</v>
      </c>
      <c r="Q31" s="21">
        <v>105.01</v>
      </c>
      <c r="BL31" s="3">
        <v>2013</v>
      </c>
      <c r="BM31" s="3" t="s">
        <v>213</v>
      </c>
      <c r="BN31" s="3" t="s">
        <v>7</v>
      </c>
      <c r="BO31" s="3" t="s">
        <v>8</v>
      </c>
      <c r="BP31" s="3" t="s">
        <v>214</v>
      </c>
      <c r="BQ31" s="54">
        <v>1771785</v>
      </c>
      <c r="BR31" s="59">
        <f>COUNT($BQ$4:$BQ31) / COUNT($BQ$4:$BQ$292)</f>
        <v>9.6885813148788927E-2</v>
      </c>
    </row>
    <row r="32" spans="1:70" x14ac:dyDescent="0.25">
      <c r="A32" s="20">
        <v>32143</v>
      </c>
      <c r="B32" s="21">
        <v>6380.1167015671599</v>
      </c>
      <c r="D32" s="20">
        <v>32143</v>
      </c>
      <c r="E32" s="21">
        <v>37623.308449402903</v>
      </c>
      <c r="G32" s="28">
        <f t="shared" si="0"/>
        <v>1988</v>
      </c>
      <c r="H32" s="22">
        <f t="shared" si="1"/>
        <v>0.1695788319665549</v>
      </c>
      <c r="P32" s="23">
        <v>43952</v>
      </c>
      <c r="Q32" s="21">
        <v>104.96</v>
      </c>
      <c r="BL32" s="3">
        <v>2014</v>
      </c>
      <c r="BM32" s="3" t="s">
        <v>187</v>
      </c>
      <c r="BN32" s="3" t="s">
        <v>92</v>
      </c>
      <c r="BO32" s="3" t="s">
        <v>25</v>
      </c>
      <c r="BP32" s="3" t="s">
        <v>29</v>
      </c>
      <c r="BQ32" s="54">
        <v>1896605</v>
      </c>
      <c r="BR32" s="59">
        <f>COUNT($BQ$4:$BQ32) / COUNT($BQ$4:$BQ$292)</f>
        <v>0.10034602076124567</v>
      </c>
    </row>
    <row r="33" spans="1:71" x14ac:dyDescent="0.25">
      <c r="A33" s="20">
        <v>32509</v>
      </c>
      <c r="B33" s="21">
        <v>7977.98364894115</v>
      </c>
      <c r="D33" s="20">
        <v>32509</v>
      </c>
      <c r="E33" s="21">
        <v>41356.813405414803</v>
      </c>
      <c r="G33" s="28">
        <f t="shared" si="0"/>
        <v>1989</v>
      </c>
      <c r="H33" s="22">
        <f t="shared" si="1"/>
        <v>0.192906149966975</v>
      </c>
      <c r="P33" s="23">
        <v>43983</v>
      </c>
      <c r="Q33" s="21">
        <v>104.89</v>
      </c>
      <c r="BL33" s="3">
        <v>2009</v>
      </c>
      <c r="BM33" s="3" t="s">
        <v>379</v>
      </c>
      <c r="BN33" s="3" t="s">
        <v>7</v>
      </c>
      <c r="BO33" s="3" t="s">
        <v>32</v>
      </c>
      <c r="BP33" s="3" t="s">
        <v>33</v>
      </c>
      <c r="BQ33" s="54">
        <v>1903752</v>
      </c>
      <c r="BR33" s="59">
        <f>COUNT($BQ$4:$BQ33) / COUNT($BQ$4:$BQ$292)</f>
        <v>0.10380622837370242</v>
      </c>
    </row>
    <row r="34" spans="1:71" x14ac:dyDescent="0.25">
      <c r="A34" s="20">
        <v>32874</v>
      </c>
      <c r="B34" s="21">
        <v>10096.424395673699</v>
      </c>
      <c r="D34" s="20">
        <v>32874</v>
      </c>
      <c r="E34" s="21">
        <v>42735.469857680502</v>
      </c>
      <c r="G34" s="28">
        <f t="shared" si="0"/>
        <v>1990</v>
      </c>
      <c r="H34" s="22">
        <f t="shared" si="1"/>
        <v>0.2362539695783677</v>
      </c>
      <c r="P34" s="23">
        <v>44013</v>
      </c>
      <c r="Q34" s="21">
        <v>104.99</v>
      </c>
      <c r="BL34" s="3">
        <v>2017</v>
      </c>
      <c r="BM34" s="3" t="s">
        <v>115</v>
      </c>
      <c r="BN34" s="3" t="s">
        <v>7</v>
      </c>
      <c r="BO34" s="3" t="s">
        <v>107</v>
      </c>
      <c r="BP34" s="3" t="s">
        <v>108</v>
      </c>
      <c r="BQ34" s="54">
        <v>1942075</v>
      </c>
      <c r="BR34" s="59">
        <f>COUNT($BQ$4:$BQ34) / COUNT($BQ$4:$BQ$292)</f>
        <v>0.10726643598615918</v>
      </c>
    </row>
    <row r="35" spans="1:71" x14ac:dyDescent="0.25">
      <c r="A35" s="20">
        <v>33239</v>
      </c>
      <c r="B35" s="21">
        <v>13212.666666519101</v>
      </c>
      <c r="D35" s="20">
        <v>33239</v>
      </c>
      <c r="E35" s="21">
        <v>46070.713528149099</v>
      </c>
      <c r="G35" s="28">
        <f t="shared" si="0"/>
        <v>1991</v>
      </c>
      <c r="H35" s="22">
        <f t="shared" si="1"/>
        <v>0.28679101439239035</v>
      </c>
      <c r="P35" s="23">
        <v>44044</v>
      </c>
      <c r="Q35" s="21">
        <v>105.13</v>
      </c>
      <c r="BL35" s="3">
        <v>2010</v>
      </c>
      <c r="BM35" s="3" t="s">
        <v>309</v>
      </c>
      <c r="BN35" s="3" t="s">
        <v>7</v>
      </c>
      <c r="BO35" s="3" t="s">
        <v>36</v>
      </c>
      <c r="BP35" s="3" t="s">
        <v>37</v>
      </c>
      <c r="BQ35" s="54">
        <v>1958499</v>
      </c>
      <c r="BR35" s="59">
        <f>COUNT($BQ$4:$BQ35) / COUNT($BQ$4:$BQ$292)</f>
        <v>0.11072664359861592</v>
      </c>
    </row>
    <row r="36" spans="1:71" x14ac:dyDescent="0.25">
      <c r="A36" s="20">
        <v>33604</v>
      </c>
      <c r="B36" s="21">
        <v>16665.745886324901</v>
      </c>
      <c r="D36" s="20">
        <v>33604</v>
      </c>
      <c r="E36" s="21">
        <v>51215.2954586743</v>
      </c>
      <c r="G36" s="28">
        <f t="shared" si="0"/>
        <v>1992</v>
      </c>
      <c r="H36" s="22">
        <f t="shared" si="1"/>
        <v>0.3254056378484142</v>
      </c>
      <c r="BL36" s="3">
        <v>2010</v>
      </c>
      <c r="BM36" s="3" t="s">
        <v>307</v>
      </c>
      <c r="BN36" s="3" t="s">
        <v>7</v>
      </c>
      <c r="BO36" s="3" t="s">
        <v>36</v>
      </c>
      <c r="BP36" s="3" t="s">
        <v>37</v>
      </c>
      <c r="BQ36" s="54">
        <v>1959337</v>
      </c>
      <c r="BR36" s="59">
        <f>COUNT($BQ$4:$BQ36) / COUNT($BQ$4:$BQ$292)</f>
        <v>0.11418685121107267</v>
      </c>
    </row>
    <row r="37" spans="1:71" x14ac:dyDescent="0.25">
      <c r="A37" s="20">
        <v>33970</v>
      </c>
      <c r="B37" s="21">
        <v>19924.680966010801</v>
      </c>
      <c r="D37" s="20">
        <v>33970</v>
      </c>
      <c r="E37" s="21">
        <v>54589.760562598298</v>
      </c>
      <c r="G37" s="28">
        <f t="shared" si="0"/>
        <v>1993</v>
      </c>
      <c r="H37" s="22">
        <f t="shared" si="1"/>
        <v>0.36498934526673898</v>
      </c>
      <c r="BL37" s="3">
        <v>2018</v>
      </c>
      <c r="BM37" s="3" t="s">
        <v>80</v>
      </c>
      <c r="BN37" s="3" t="s">
        <v>7</v>
      </c>
      <c r="BO37" s="3" t="s">
        <v>36</v>
      </c>
      <c r="BP37" s="3" t="s">
        <v>81</v>
      </c>
      <c r="BQ37" s="54">
        <v>1973591</v>
      </c>
      <c r="BR37" s="59">
        <f>COUNT($BQ$4:$BQ37) / COUNT($BQ$4:$BQ$292)</f>
        <v>0.11764705882352941</v>
      </c>
    </row>
    <row r="38" spans="1:71" x14ac:dyDescent="0.25">
      <c r="A38" s="20">
        <v>34335</v>
      </c>
      <c r="B38" s="21">
        <v>23953.8001408153</v>
      </c>
      <c r="D38" s="20">
        <v>34335</v>
      </c>
      <c r="E38" s="21">
        <v>57335.733594338897</v>
      </c>
      <c r="G38" s="28">
        <f t="shared" si="0"/>
        <v>1994</v>
      </c>
      <c r="H38" s="22">
        <f t="shared" si="1"/>
        <v>0.41778134924186971</v>
      </c>
      <c r="BL38" s="3">
        <v>2009</v>
      </c>
      <c r="BM38" s="3" t="s">
        <v>380</v>
      </c>
      <c r="BN38" s="3" t="s">
        <v>7</v>
      </c>
      <c r="BO38" s="3" t="s">
        <v>48</v>
      </c>
      <c r="BP38" s="3" t="s">
        <v>88</v>
      </c>
      <c r="BQ38" s="54">
        <v>2122786</v>
      </c>
      <c r="BR38" s="59">
        <f>COUNT($BQ$4:$BQ38) / COUNT($BQ$4:$BQ$292)</f>
        <v>0.12110726643598616</v>
      </c>
      <c r="BS38">
        <v>2</v>
      </c>
    </row>
    <row r="39" spans="1:71" x14ac:dyDescent="0.25">
      <c r="A39" s="20">
        <v>34700</v>
      </c>
      <c r="B39" s="21">
        <v>29141.5913131503</v>
      </c>
      <c r="D39" s="20">
        <v>34700</v>
      </c>
      <c r="E39" s="21">
        <v>62457.704315236297</v>
      </c>
      <c r="G39" s="28">
        <f t="shared" si="0"/>
        <v>1995</v>
      </c>
      <c r="H39" s="22">
        <f t="shared" si="1"/>
        <v>0.46658121095945132</v>
      </c>
      <c r="BL39" s="3">
        <v>2012</v>
      </c>
      <c r="BM39" s="3" t="s">
        <v>255</v>
      </c>
      <c r="BN39" s="3" t="s">
        <v>92</v>
      </c>
      <c r="BO39" s="3" t="s">
        <v>8</v>
      </c>
      <c r="BP39" s="3" t="s">
        <v>51</v>
      </c>
      <c r="BQ39" s="54">
        <v>2260176</v>
      </c>
      <c r="BR39" s="59">
        <f>COUNT($BQ$4:$BQ39) / COUNT($BQ$4:$BQ$292)</f>
        <v>0.1245674740484429</v>
      </c>
    </row>
    <row r="40" spans="1:71" x14ac:dyDescent="0.25">
      <c r="A40" s="20">
        <v>35065</v>
      </c>
      <c r="B40" s="21">
        <v>32173.374439801599</v>
      </c>
      <c r="D40" s="20">
        <v>35065</v>
      </c>
      <c r="E40" s="21">
        <v>66706.649847384499</v>
      </c>
      <c r="G40" s="28">
        <f t="shared" si="0"/>
        <v>1996</v>
      </c>
      <c r="H40" s="22">
        <f t="shared" si="1"/>
        <v>0.48231135146810383</v>
      </c>
      <c r="BL40" s="3">
        <v>2011</v>
      </c>
      <c r="BM40" s="3" t="s">
        <v>301</v>
      </c>
      <c r="BN40" s="3" t="s">
        <v>7</v>
      </c>
      <c r="BO40" s="3" t="s">
        <v>12</v>
      </c>
      <c r="BP40" s="3" t="s">
        <v>105</v>
      </c>
      <c r="BQ40" s="54">
        <v>2632701</v>
      </c>
      <c r="BR40" s="59">
        <f>COUNT($BQ$4:$BQ40) / COUNT($BQ$4:$BQ$292)</f>
        <v>0.12802768166089964</v>
      </c>
    </row>
    <row r="41" spans="1:71" x14ac:dyDescent="0.25">
      <c r="A41" s="20">
        <v>35431</v>
      </c>
      <c r="B41" s="21">
        <v>35621.374458411701</v>
      </c>
      <c r="D41" s="20">
        <v>35431</v>
      </c>
      <c r="E41" s="21">
        <v>71661.546292613493</v>
      </c>
      <c r="G41" s="28">
        <f t="shared" si="0"/>
        <v>1997</v>
      </c>
      <c r="H41" s="22">
        <f t="shared" si="1"/>
        <v>0.49707794907131903</v>
      </c>
      <c r="BL41" s="3">
        <v>2012</v>
      </c>
      <c r="BM41" s="3" t="s">
        <v>259</v>
      </c>
      <c r="BN41" s="3" t="s">
        <v>92</v>
      </c>
      <c r="BO41" s="3" t="s">
        <v>8</v>
      </c>
      <c r="BP41" s="3" t="s">
        <v>51</v>
      </c>
      <c r="BQ41" s="54">
        <v>2643277</v>
      </c>
      <c r="BR41" s="59">
        <f>COUNT($BQ$4:$BQ41) / COUNT($BQ$4:$BQ$292)</f>
        <v>0.13148788927335639</v>
      </c>
    </row>
    <row r="42" spans="1:71" x14ac:dyDescent="0.25">
      <c r="A42" s="20">
        <v>35796</v>
      </c>
      <c r="B42" s="21">
        <v>37549.275338224499</v>
      </c>
      <c r="D42" s="20">
        <v>35796</v>
      </c>
      <c r="E42" s="21">
        <v>74760.606830738994</v>
      </c>
      <c r="G42" s="28">
        <f t="shared" si="0"/>
        <v>1998</v>
      </c>
      <c r="H42" s="22">
        <f t="shared" si="1"/>
        <v>0.50226017323852867</v>
      </c>
      <c r="BL42" s="3">
        <v>2014</v>
      </c>
      <c r="BM42" s="3" t="s">
        <v>212</v>
      </c>
      <c r="BN42" s="3" t="s">
        <v>92</v>
      </c>
      <c r="BO42" s="3" t="s">
        <v>25</v>
      </c>
      <c r="BP42" s="3" t="s">
        <v>29</v>
      </c>
      <c r="BQ42" s="54">
        <v>2655246</v>
      </c>
      <c r="BR42" s="59">
        <f>COUNT($BQ$4:$BQ42) / COUNT($BQ$4:$BQ$292)</f>
        <v>0.13494809688581316</v>
      </c>
    </row>
    <row r="43" spans="1:71" x14ac:dyDescent="0.25">
      <c r="A43" s="20">
        <v>36161</v>
      </c>
      <c r="B43" s="21">
        <v>38246.9231642089</v>
      </c>
      <c r="D43" s="20">
        <v>36161</v>
      </c>
      <c r="E43" s="21">
        <v>74452.521235475098</v>
      </c>
      <c r="G43" s="28">
        <f t="shared" si="0"/>
        <v>1999</v>
      </c>
      <c r="H43" s="22">
        <f t="shared" si="1"/>
        <v>0.51370890507848943</v>
      </c>
      <c r="BL43" s="3">
        <v>2009</v>
      </c>
      <c r="BM43" s="3" t="s">
        <v>382</v>
      </c>
      <c r="BN43" s="3" t="s">
        <v>92</v>
      </c>
      <c r="BO43" s="3" t="s">
        <v>290</v>
      </c>
      <c r="BP43" s="3" t="s">
        <v>176</v>
      </c>
      <c r="BQ43" s="54">
        <v>2743439</v>
      </c>
      <c r="BR43" s="59">
        <f>COUNT($BQ$4:$BQ43) / COUNT($BQ$4:$BQ$292)</f>
        <v>0.13840830449826991</v>
      </c>
    </row>
    <row r="44" spans="1:71" x14ac:dyDescent="0.25">
      <c r="A44" s="20">
        <v>36526</v>
      </c>
      <c r="B44" s="21">
        <v>42005.194286644903</v>
      </c>
      <c r="D44" s="20">
        <v>36526</v>
      </c>
      <c r="E44" s="21">
        <v>78418.561193229296</v>
      </c>
      <c r="G44" s="28">
        <f t="shared" si="0"/>
        <v>2000</v>
      </c>
      <c r="H44" s="22">
        <f t="shared" si="1"/>
        <v>0.53565372339771589</v>
      </c>
      <c r="BL44" s="3">
        <v>2010</v>
      </c>
      <c r="BM44" s="3" t="s">
        <v>322</v>
      </c>
      <c r="BN44" s="3" t="s">
        <v>7</v>
      </c>
      <c r="BO44" s="3" t="s">
        <v>12</v>
      </c>
      <c r="BP44" s="3" t="s">
        <v>13</v>
      </c>
      <c r="BQ44" s="54">
        <v>2804072</v>
      </c>
      <c r="BR44" s="59">
        <f>COUNT($BQ$4:$BQ44) / COUNT($BQ$4:$BQ$292)</f>
        <v>0.14186851211072665</v>
      </c>
    </row>
    <row r="45" spans="1:71" x14ac:dyDescent="0.25">
      <c r="A45" s="20">
        <v>36892</v>
      </c>
      <c r="B45" s="21">
        <v>45067.992919379998</v>
      </c>
      <c r="D45" s="20">
        <v>36892</v>
      </c>
      <c r="E45" s="21">
        <v>81008.763371237204</v>
      </c>
      <c r="G45" s="28">
        <f t="shared" si="0"/>
        <v>2001</v>
      </c>
      <c r="H45" s="22">
        <f t="shared" si="1"/>
        <v>0.55633478458185848</v>
      </c>
      <c r="BL45" s="3">
        <v>2010</v>
      </c>
      <c r="BM45" s="3" t="s">
        <v>247</v>
      </c>
      <c r="BN45" s="3" t="s">
        <v>283</v>
      </c>
      <c r="BO45" s="3" t="s">
        <v>40</v>
      </c>
      <c r="BP45" s="3" t="s">
        <v>43</v>
      </c>
      <c r="BQ45" s="54">
        <v>2827659</v>
      </c>
      <c r="BR45" s="59">
        <f>COUNT($BQ$4:$BQ45) / COUNT($BQ$4:$BQ$292)</f>
        <v>0.1453287197231834</v>
      </c>
    </row>
    <row r="46" spans="1:71" x14ac:dyDescent="0.25">
      <c r="A46" s="20">
        <v>37257</v>
      </c>
      <c r="B46" s="21">
        <v>48044.4788701199</v>
      </c>
      <c r="D46" s="20">
        <v>37257</v>
      </c>
      <c r="E46" s="21">
        <v>83525.681777727805</v>
      </c>
      <c r="G46" s="28">
        <f t="shared" si="0"/>
        <v>2002</v>
      </c>
      <c r="H46" s="22">
        <f t="shared" si="1"/>
        <v>0.57520606653618478</v>
      </c>
      <c r="BL46" s="3">
        <v>2012</v>
      </c>
      <c r="BM46" s="3" t="s">
        <v>251</v>
      </c>
      <c r="BN46" s="3" t="s">
        <v>92</v>
      </c>
      <c r="BO46" s="3" t="s">
        <v>8</v>
      </c>
      <c r="BP46" s="3" t="s">
        <v>51</v>
      </c>
      <c r="BQ46" s="54">
        <v>3233652</v>
      </c>
      <c r="BR46" s="59">
        <f>COUNT($BQ$4:$BQ46) / COUNT($BQ$4:$BQ$292)</f>
        <v>0.14878892733564014</v>
      </c>
    </row>
    <row r="47" spans="1:71" x14ac:dyDescent="0.25">
      <c r="A47" s="20">
        <v>37622</v>
      </c>
      <c r="B47" s="21">
        <v>52299.888133072098</v>
      </c>
      <c r="D47" s="20">
        <v>37622</v>
      </c>
      <c r="E47" s="21">
        <v>86942.757248194306</v>
      </c>
      <c r="G47" s="28">
        <f t="shared" si="0"/>
        <v>2003</v>
      </c>
      <c r="H47" s="22">
        <f t="shared" si="1"/>
        <v>0.60154393290946961</v>
      </c>
      <c r="BL47" s="3">
        <v>2011</v>
      </c>
      <c r="BM47" s="3" t="s">
        <v>277</v>
      </c>
      <c r="BN47" s="3" t="s">
        <v>92</v>
      </c>
      <c r="BO47" s="3" t="s">
        <v>36</v>
      </c>
      <c r="BP47" s="3" t="s">
        <v>81</v>
      </c>
      <c r="BQ47" s="54">
        <v>3305031</v>
      </c>
      <c r="BR47" s="59">
        <f>COUNT($BQ$4:$BQ47) / COUNT($BQ$4:$BQ$292)</f>
        <v>0.15224913494809689</v>
      </c>
    </row>
    <row r="48" spans="1:71" x14ac:dyDescent="0.25">
      <c r="A48" s="20">
        <v>37987</v>
      </c>
      <c r="B48" s="21">
        <v>60471.710758510599</v>
      </c>
      <c r="D48" s="20">
        <v>37987</v>
      </c>
      <c r="E48" s="21">
        <v>93210.929856484901</v>
      </c>
      <c r="G48" s="28">
        <f t="shared" si="0"/>
        <v>2004</v>
      </c>
      <c r="H48" s="22">
        <f t="shared" si="1"/>
        <v>0.64876201590969795</v>
      </c>
      <c r="BL48" s="3">
        <v>2012</v>
      </c>
      <c r="BM48" s="3" t="s">
        <v>261</v>
      </c>
      <c r="BN48" s="3" t="s">
        <v>7</v>
      </c>
      <c r="BO48" s="3" t="s">
        <v>64</v>
      </c>
      <c r="BP48" s="3" t="s">
        <v>262</v>
      </c>
      <c r="BQ48" s="54">
        <v>3318029</v>
      </c>
      <c r="BR48" s="59">
        <f>COUNT($BQ$4:$BQ48) / COUNT($BQ$4:$BQ$292)</f>
        <v>0.15570934256055363</v>
      </c>
    </row>
    <row r="49" spans="1:71" x14ac:dyDescent="0.25">
      <c r="A49" s="20">
        <v>38353</v>
      </c>
      <c r="B49" s="21">
        <v>68831.705427037698</v>
      </c>
      <c r="D49" s="20">
        <v>38353</v>
      </c>
      <c r="E49" s="21">
        <v>98563.875555807506</v>
      </c>
      <c r="G49" s="28">
        <f t="shared" si="0"/>
        <v>2005</v>
      </c>
      <c r="H49" s="22">
        <f t="shared" si="1"/>
        <v>0.69834617438581481</v>
      </c>
      <c r="BL49" s="3">
        <v>2012</v>
      </c>
      <c r="BM49" s="3" t="s">
        <v>257</v>
      </c>
      <c r="BN49" s="3" t="s">
        <v>92</v>
      </c>
      <c r="BO49" s="3" t="s">
        <v>8</v>
      </c>
      <c r="BP49" s="3" t="s">
        <v>51</v>
      </c>
      <c r="BQ49" s="54">
        <v>3321700</v>
      </c>
      <c r="BR49" s="59">
        <f>COUNT($BQ$4:$BQ49) / COUNT($BQ$4:$BQ$292)</f>
        <v>0.15916955017301038</v>
      </c>
    </row>
    <row r="50" spans="1:71" x14ac:dyDescent="0.25">
      <c r="A50" s="20">
        <v>38718</v>
      </c>
      <c r="B50" s="21">
        <v>82080.219853930394</v>
      </c>
      <c r="D50" s="20">
        <v>38718</v>
      </c>
      <c r="E50" s="21">
        <v>104790.32938532899</v>
      </c>
      <c r="G50" s="28">
        <f t="shared" si="0"/>
        <v>2006</v>
      </c>
      <c r="H50" s="22">
        <f t="shared" si="1"/>
        <v>0.78328048337466061</v>
      </c>
      <c r="BL50" s="3">
        <v>2013</v>
      </c>
      <c r="BM50" s="3" t="s">
        <v>222</v>
      </c>
      <c r="BN50" s="3" t="s">
        <v>7</v>
      </c>
      <c r="BO50" s="3" t="s">
        <v>36</v>
      </c>
      <c r="BP50" s="3" t="s">
        <v>37</v>
      </c>
      <c r="BQ50" s="54">
        <v>3389160</v>
      </c>
      <c r="BR50" s="59">
        <f>COUNT($BQ$4:$BQ50) / COUNT($BQ$4:$BQ$292)</f>
        <v>0.16262975778546712</v>
      </c>
    </row>
    <row r="51" spans="1:71" x14ac:dyDescent="0.25">
      <c r="A51" s="20">
        <v>39083</v>
      </c>
      <c r="B51" s="21">
        <v>90702.903280006707</v>
      </c>
      <c r="D51" s="20">
        <v>39083</v>
      </c>
      <c r="E51" s="21">
        <v>109930.63509004501</v>
      </c>
      <c r="G51" s="28">
        <f t="shared" si="0"/>
        <v>2007</v>
      </c>
      <c r="H51" s="22">
        <f t="shared" si="1"/>
        <v>0.82509214292914146</v>
      </c>
      <c r="BL51" s="3">
        <v>2014</v>
      </c>
      <c r="BM51" s="3" t="s">
        <v>211</v>
      </c>
      <c r="BN51" s="3" t="s">
        <v>92</v>
      </c>
      <c r="BO51" s="3" t="s">
        <v>25</v>
      </c>
      <c r="BP51" s="3" t="s">
        <v>29</v>
      </c>
      <c r="BQ51" s="54">
        <v>3669876</v>
      </c>
      <c r="BR51" s="59">
        <f>COUNT($BQ$4:$BQ51) / COUNT($BQ$4:$BQ$292)</f>
        <v>0.16608996539792387</v>
      </c>
    </row>
    <row r="52" spans="1:71" x14ac:dyDescent="0.25">
      <c r="A52" s="20">
        <v>39448</v>
      </c>
      <c r="B52" s="21">
        <v>93854.108404160404</v>
      </c>
      <c r="D52" s="20">
        <v>39448</v>
      </c>
      <c r="E52" s="21">
        <v>113810.670442915</v>
      </c>
      <c r="G52" s="28">
        <f t="shared" si="0"/>
        <v>2008</v>
      </c>
      <c r="H52" s="22">
        <f t="shared" si="1"/>
        <v>0.82465122153230452</v>
      </c>
      <c r="BL52" s="3">
        <v>2015</v>
      </c>
      <c r="BM52" s="3" t="s">
        <v>175</v>
      </c>
      <c r="BN52" s="3" t="s">
        <v>7</v>
      </c>
      <c r="BO52" s="3" t="s">
        <v>20</v>
      </c>
      <c r="BP52" s="3" t="s">
        <v>176</v>
      </c>
      <c r="BQ52" s="54">
        <v>4199611</v>
      </c>
      <c r="BR52" s="59">
        <f>COUNT($BQ$4:$BQ52) / COUNT($BQ$4:$BQ$292)</f>
        <v>0.16955017301038061</v>
      </c>
    </row>
    <row r="53" spans="1:71" x14ac:dyDescent="0.25">
      <c r="A53" s="20">
        <v>39814</v>
      </c>
      <c r="B53" s="21">
        <v>96686.356858733605</v>
      </c>
      <c r="D53" s="20">
        <v>39814</v>
      </c>
      <c r="E53" s="21">
        <v>112030.39904548399</v>
      </c>
      <c r="G53" s="28">
        <f t="shared" si="0"/>
        <v>2009</v>
      </c>
      <c r="H53" s="22">
        <f t="shared" si="1"/>
        <v>0.86303679789160836</v>
      </c>
      <c r="BL53" s="3">
        <v>2010</v>
      </c>
      <c r="BM53" s="3" t="s">
        <v>321</v>
      </c>
      <c r="BN53" s="3" t="s">
        <v>7</v>
      </c>
      <c r="BO53" s="3" t="s">
        <v>12</v>
      </c>
      <c r="BP53" s="3" t="s">
        <v>61</v>
      </c>
      <c r="BQ53" s="54">
        <v>4334967</v>
      </c>
      <c r="BR53" s="59">
        <f>COUNT($BQ$4:$BQ53) / COUNT($BQ$4:$BQ$292)</f>
        <v>0.17301038062283736</v>
      </c>
    </row>
    <row r="54" spans="1:71" x14ac:dyDescent="0.25">
      <c r="A54" s="20">
        <v>40179</v>
      </c>
      <c r="B54" s="21">
        <v>111508.61068002701</v>
      </c>
      <c r="D54" s="20">
        <v>40179</v>
      </c>
      <c r="E54" s="21">
        <v>118577.654190885</v>
      </c>
      <c r="G54" s="28">
        <f t="shared" si="0"/>
        <v>2010</v>
      </c>
      <c r="H54" s="22">
        <f t="shared" si="1"/>
        <v>0.94038469086697962</v>
      </c>
      <c r="BL54" s="3">
        <v>2018</v>
      </c>
      <c r="BM54" s="3" t="s">
        <v>62</v>
      </c>
      <c r="BN54" s="3" t="s">
        <v>7</v>
      </c>
      <c r="BO54" s="3" t="s">
        <v>12</v>
      </c>
      <c r="BP54" s="3" t="s">
        <v>61</v>
      </c>
      <c r="BQ54" s="54">
        <v>4387753</v>
      </c>
      <c r="BR54" s="59">
        <f>COUNT($BQ$4:$BQ54) / COUNT($BQ$4:$BQ$292)</f>
        <v>0.17647058823529413</v>
      </c>
    </row>
    <row r="55" spans="1:71" x14ac:dyDescent="0.25">
      <c r="A55" s="20">
        <v>40544</v>
      </c>
      <c r="B55" s="21">
        <v>122006.090354937</v>
      </c>
      <c r="D55" s="20">
        <v>40544</v>
      </c>
      <c r="E55" s="21">
        <v>125823.83838798301</v>
      </c>
      <c r="G55" s="28">
        <f t="shared" si="0"/>
        <v>2011</v>
      </c>
      <c r="H55" s="22">
        <f t="shared" si="1"/>
        <v>0.96965799102969796</v>
      </c>
      <c r="BL55" s="3">
        <v>2013</v>
      </c>
      <c r="BM55" s="3" t="s">
        <v>225</v>
      </c>
      <c r="BN55" s="3" t="s">
        <v>7</v>
      </c>
      <c r="BO55" s="3" t="s">
        <v>12</v>
      </c>
      <c r="BP55" s="3" t="s">
        <v>61</v>
      </c>
      <c r="BQ55" s="54">
        <v>4581843</v>
      </c>
      <c r="BR55" s="59">
        <f>COUNT($BQ$4:$BQ55) / COUNT($BQ$4:$BQ$292)</f>
        <v>0.17993079584775087</v>
      </c>
    </row>
    <row r="56" spans="1:71" x14ac:dyDescent="0.25">
      <c r="A56" s="20">
        <v>40909</v>
      </c>
      <c r="B56" s="21">
        <v>129947.34229703499</v>
      </c>
      <c r="D56" s="20">
        <v>40909</v>
      </c>
      <c r="E56" s="21">
        <v>132515.94028770999</v>
      </c>
      <c r="G56" s="28">
        <f t="shared" si="0"/>
        <v>2012</v>
      </c>
      <c r="H56" s="22">
        <f t="shared" si="1"/>
        <v>0.98061668667861224</v>
      </c>
      <c r="BL56" s="3">
        <v>2018</v>
      </c>
      <c r="BM56" s="3" t="s">
        <v>57</v>
      </c>
      <c r="BN56" s="3" t="s">
        <v>7</v>
      </c>
      <c r="BO56" s="3" t="s">
        <v>12</v>
      </c>
      <c r="BP56" s="3" t="s">
        <v>58</v>
      </c>
      <c r="BQ56" s="54">
        <v>4686021</v>
      </c>
      <c r="BR56" s="59">
        <f>COUNT($BQ$4:$BQ56) / COUNT($BQ$4:$BQ$292)</f>
        <v>0.18339100346020762</v>
      </c>
    </row>
    <row r="57" spans="1:71" x14ac:dyDescent="0.25">
      <c r="A57" s="20">
        <v>41275</v>
      </c>
      <c r="B57" s="21">
        <v>137876.21576806999</v>
      </c>
      <c r="D57" s="20">
        <v>41275</v>
      </c>
      <c r="E57" s="21">
        <v>137876.21576806999</v>
      </c>
      <c r="G57" s="28">
        <f t="shared" si="0"/>
        <v>2013</v>
      </c>
      <c r="H57" s="22">
        <f t="shared" si="1"/>
        <v>1</v>
      </c>
      <c r="BL57" s="3">
        <v>2019</v>
      </c>
      <c r="BM57" s="3" t="s">
        <v>47</v>
      </c>
      <c r="BN57" s="3" t="s">
        <v>7</v>
      </c>
      <c r="BO57" s="3" t="s">
        <v>48</v>
      </c>
      <c r="BP57" s="3" t="s">
        <v>49</v>
      </c>
      <c r="BQ57" s="54">
        <v>4728116</v>
      </c>
      <c r="BR57" s="59">
        <f>COUNT($BQ$4:$BQ57) / COUNT($BQ$4:$BQ$292)</f>
        <v>0.18685121107266436</v>
      </c>
    </row>
    <row r="58" spans="1:71" x14ac:dyDescent="0.25">
      <c r="A58" s="20">
        <v>41640</v>
      </c>
      <c r="B58" s="21">
        <v>148599.45387498999</v>
      </c>
      <c r="D58" s="20">
        <v>41640</v>
      </c>
      <c r="E58" s="21">
        <v>140312.12972421999</v>
      </c>
      <c r="G58" s="28">
        <f t="shared" si="0"/>
        <v>2014</v>
      </c>
      <c r="H58" s="22">
        <f t="shared" si="1"/>
        <v>1.0590634905696217</v>
      </c>
      <c r="BL58" s="3">
        <v>2019</v>
      </c>
      <c r="BM58" s="3" t="s">
        <v>22</v>
      </c>
      <c r="BN58" s="3" t="s">
        <v>7</v>
      </c>
      <c r="BO58" s="3" t="s">
        <v>20</v>
      </c>
      <c r="BP58" s="3" t="s">
        <v>23</v>
      </c>
      <c r="BQ58" s="54">
        <v>4765293</v>
      </c>
      <c r="BR58" s="59">
        <f>COUNT($BQ$4:$BQ58) / COUNT($BQ$4:$BQ$292)</f>
        <v>0.19031141868512111</v>
      </c>
    </row>
    <row r="59" spans="1:71" x14ac:dyDescent="0.25">
      <c r="A59" s="20">
        <v>42005</v>
      </c>
      <c r="B59" s="21">
        <v>159553.34830983001</v>
      </c>
      <c r="D59" s="20">
        <v>42005</v>
      </c>
      <c r="E59" s="21">
        <v>143544.59431648999</v>
      </c>
      <c r="G59" s="28">
        <f t="shared" si="0"/>
        <v>2015</v>
      </c>
      <c r="H59" s="22">
        <f t="shared" si="1"/>
        <v>1.1115246036924498</v>
      </c>
      <c r="BL59" s="3">
        <v>2019</v>
      </c>
      <c r="BM59" s="3" t="s">
        <v>24</v>
      </c>
      <c r="BN59" s="3" t="s">
        <v>7</v>
      </c>
      <c r="BO59" s="3" t="s">
        <v>25</v>
      </c>
      <c r="BP59" s="3" t="s">
        <v>26</v>
      </c>
      <c r="BQ59" s="54">
        <v>4888855</v>
      </c>
      <c r="BR59" s="59">
        <f>COUNT($BQ$4:$BQ59) / COUNT($BQ$4:$BQ$292)</f>
        <v>0.19377162629757785</v>
      </c>
    </row>
    <row r="60" spans="1:71" x14ac:dyDescent="0.25">
      <c r="A60" s="20">
        <v>42370</v>
      </c>
      <c r="B60" s="21">
        <v>169537.38772237001</v>
      </c>
      <c r="D60" s="20">
        <v>42370</v>
      </c>
      <c r="E60" s="21">
        <v>146000.77049431001</v>
      </c>
      <c r="G60" s="28">
        <f t="shared" si="0"/>
        <v>2016</v>
      </c>
      <c r="H60" s="22">
        <f t="shared" si="1"/>
        <v>1.161208856284613</v>
      </c>
      <c r="BL60" s="3">
        <v>2012</v>
      </c>
      <c r="BM60" s="3" t="s">
        <v>275</v>
      </c>
      <c r="BN60" s="3" t="s">
        <v>7</v>
      </c>
      <c r="BO60" s="3" t="s">
        <v>25</v>
      </c>
      <c r="BP60" s="3" t="s">
        <v>151</v>
      </c>
      <c r="BQ60" s="54">
        <v>4978404</v>
      </c>
      <c r="BR60" s="59">
        <f>COUNT($BQ$4:$BQ60) / COUNT($BQ$4:$BQ$292)</f>
        <v>0.1972318339100346</v>
      </c>
    </row>
    <row r="61" spans="1:71" x14ac:dyDescent="0.25">
      <c r="A61" s="20">
        <v>42736</v>
      </c>
      <c r="B61" s="21">
        <v>179756.12579676</v>
      </c>
      <c r="D61" s="20">
        <v>42736</v>
      </c>
      <c r="E61" s="21">
        <v>147736.09562235</v>
      </c>
      <c r="G61" s="28">
        <f t="shared" si="0"/>
        <v>2017</v>
      </c>
      <c r="H61" s="22">
        <f t="shared" si="1"/>
        <v>1.2167380289801426</v>
      </c>
      <c r="BL61" s="3">
        <v>2009</v>
      </c>
      <c r="BM61" s="3" t="s">
        <v>359</v>
      </c>
      <c r="BN61" s="3" t="s">
        <v>7</v>
      </c>
      <c r="BO61" s="3" t="s">
        <v>36</v>
      </c>
      <c r="BP61" s="3" t="s">
        <v>37</v>
      </c>
      <c r="BQ61" s="54">
        <v>5193062</v>
      </c>
      <c r="BR61" s="59">
        <f>COUNT($BQ$4:$BQ61) / COUNT($BQ$4:$BQ$292)</f>
        <v>0.20069204152249134</v>
      </c>
      <c r="BS61">
        <v>3</v>
      </c>
    </row>
    <row r="62" spans="1:71" x14ac:dyDescent="0.25">
      <c r="A62" s="20">
        <v>43101</v>
      </c>
      <c r="B62" s="21">
        <v>191265.95207219999</v>
      </c>
      <c r="D62" s="20">
        <v>43101</v>
      </c>
      <c r="E62" s="21">
        <v>153570.66811023999</v>
      </c>
      <c r="G62" s="28">
        <f t="shared" si="0"/>
        <v>2018</v>
      </c>
      <c r="H62" s="22">
        <f t="shared" si="1"/>
        <v>1.2454588784812775</v>
      </c>
      <c r="BL62" s="3">
        <v>2009</v>
      </c>
      <c r="BM62" s="3" t="s">
        <v>384</v>
      </c>
      <c r="BN62" s="3" t="s">
        <v>7</v>
      </c>
      <c r="BO62" s="3" t="s">
        <v>290</v>
      </c>
      <c r="BP62" s="3" t="s">
        <v>21</v>
      </c>
      <c r="BQ62" s="54">
        <v>5316685</v>
      </c>
      <c r="BR62" s="59">
        <f>COUNT($BQ$4:$BQ62) / COUNT($BQ$4:$BQ$292)</f>
        <v>0.20415224913494809</v>
      </c>
    </row>
    <row r="63" spans="1:71" x14ac:dyDescent="0.25">
      <c r="A63" s="20">
        <v>43466</v>
      </c>
      <c r="B63" s="21">
        <v>198440.70682682001</v>
      </c>
      <c r="D63" s="20">
        <v>43466</v>
      </c>
      <c r="E63" s="21">
        <v>155189.98258025001</v>
      </c>
      <c r="G63" s="28">
        <f t="shared" si="0"/>
        <v>2019</v>
      </c>
      <c r="H63" s="22">
        <f t="shared" si="1"/>
        <v>1.2786953354041695</v>
      </c>
      <c r="BL63" s="3">
        <v>2009</v>
      </c>
      <c r="BM63" s="3" t="s">
        <v>383</v>
      </c>
      <c r="BN63" s="3" t="s">
        <v>7</v>
      </c>
      <c r="BO63" s="3" t="s">
        <v>290</v>
      </c>
      <c r="BP63" s="3" t="s">
        <v>21</v>
      </c>
      <c r="BQ63" s="54">
        <v>5316685</v>
      </c>
      <c r="BR63" s="59">
        <f>COUNT($BQ$4:$BQ63) / COUNT($BQ$4:$BQ$292)</f>
        <v>0.20761245674740483</v>
      </c>
    </row>
    <row r="64" spans="1:71" x14ac:dyDescent="0.25">
      <c r="G64" s="28">
        <f>YEAR(P35)</f>
        <v>2020</v>
      </c>
      <c r="H64" s="22">
        <f xml:space="preserve"> H63 + Q35/Q23-1</f>
        <v>1.3031545051566544</v>
      </c>
      <c r="BL64" s="3">
        <v>2014</v>
      </c>
      <c r="BM64" s="3" t="s">
        <v>200</v>
      </c>
      <c r="BN64" s="3" t="s">
        <v>7</v>
      </c>
      <c r="BO64" s="3" t="s">
        <v>32</v>
      </c>
      <c r="BP64" s="3" t="s">
        <v>33</v>
      </c>
      <c r="BQ64" s="54">
        <v>5334748</v>
      </c>
      <c r="BR64" s="59">
        <f>COUNT($BQ$4:$BQ64) / COUNT($BQ$4:$BQ$292)</f>
        <v>0.21107266435986158</v>
      </c>
    </row>
    <row r="65" spans="64:70" x14ac:dyDescent="0.25">
      <c r="BL65" s="3">
        <v>2015</v>
      </c>
      <c r="BM65" s="3" t="s">
        <v>171</v>
      </c>
      <c r="BN65" s="3" t="s">
        <v>7</v>
      </c>
      <c r="BO65" s="3" t="s">
        <v>36</v>
      </c>
      <c r="BP65" s="3" t="s">
        <v>68</v>
      </c>
      <c r="BQ65" s="54">
        <v>5431420</v>
      </c>
      <c r="BR65" s="59">
        <f>COUNT($BQ$4:$BQ65) / COUNT($BQ$4:$BQ$292)</f>
        <v>0.21453287197231835</v>
      </c>
    </row>
    <row r="66" spans="64:70" x14ac:dyDescent="0.25">
      <c r="BL66" s="3">
        <v>2011</v>
      </c>
      <c r="BM66" s="3" t="s">
        <v>280</v>
      </c>
      <c r="BN66" s="3" t="s">
        <v>92</v>
      </c>
      <c r="BO66" s="3" t="s">
        <v>36</v>
      </c>
      <c r="BP66" s="3" t="s">
        <v>81</v>
      </c>
      <c r="BQ66" s="54">
        <v>5445984</v>
      </c>
      <c r="BR66" s="59">
        <f>COUNT($BQ$4:$BQ66) / COUNT($BQ$4:$BQ$292)</f>
        <v>0.2179930795847751</v>
      </c>
    </row>
    <row r="67" spans="64:70" x14ac:dyDescent="0.25">
      <c r="BL67" s="3">
        <v>2009</v>
      </c>
      <c r="BM67" s="3" t="s">
        <v>367</v>
      </c>
      <c r="BN67" s="3" t="s">
        <v>155</v>
      </c>
      <c r="BO67" s="3" t="s">
        <v>159</v>
      </c>
      <c r="BP67" s="3" t="s">
        <v>368</v>
      </c>
      <c r="BQ67" s="54">
        <v>5485721</v>
      </c>
      <c r="BR67" s="59">
        <f>COUNT($BQ$4:$BQ67) / COUNT($BQ$4:$BQ$292)</f>
        <v>0.22145328719723184</v>
      </c>
    </row>
    <row r="68" spans="64:70" x14ac:dyDescent="0.25">
      <c r="BL68" s="3">
        <v>2018</v>
      </c>
      <c r="BM68" s="3" t="s">
        <v>76</v>
      </c>
      <c r="BN68" s="3" t="s">
        <v>7</v>
      </c>
      <c r="BO68" s="3" t="s">
        <v>25</v>
      </c>
      <c r="BP68" s="3" t="s">
        <v>26</v>
      </c>
      <c r="BQ68" s="54">
        <v>5609672</v>
      </c>
      <c r="BR68" s="59">
        <f>COUNT($BQ$4:$BQ68) / COUNT($BQ$4:$BQ$292)</f>
        <v>0.22491349480968859</v>
      </c>
    </row>
    <row r="69" spans="64:70" x14ac:dyDescent="0.25">
      <c r="BL69" s="3">
        <v>2017</v>
      </c>
      <c r="BM69" s="3" t="s">
        <v>113</v>
      </c>
      <c r="BN69" s="3" t="s">
        <v>7</v>
      </c>
      <c r="BO69" s="3" t="s">
        <v>54</v>
      </c>
      <c r="BP69" s="3" t="s">
        <v>55</v>
      </c>
      <c r="BQ69" s="54">
        <v>5667032</v>
      </c>
      <c r="BR69" s="59">
        <f>COUNT($BQ$4:$BQ69) / COUNT($BQ$4:$BQ$292)</f>
        <v>0.22837370242214533</v>
      </c>
    </row>
    <row r="70" spans="64:70" x14ac:dyDescent="0.25">
      <c r="BL70" s="3">
        <v>2017</v>
      </c>
      <c r="BM70" s="3" t="s">
        <v>112</v>
      </c>
      <c r="BN70" s="3" t="s">
        <v>7</v>
      </c>
      <c r="BO70" s="3" t="s">
        <v>54</v>
      </c>
      <c r="BP70" s="3" t="s">
        <v>55</v>
      </c>
      <c r="BQ70" s="54">
        <v>5667032</v>
      </c>
      <c r="BR70" s="59">
        <f>COUNT($BQ$4:$BQ70) / COUNT($BQ$4:$BQ$292)</f>
        <v>0.23183391003460208</v>
      </c>
    </row>
    <row r="71" spans="64:70" x14ac:dyDescent="0.25">
      <c r="BL71" s="3">
        <v>2009</v>
      </c>
      <c r="BM71" s="3" t="s">
        <v>366</v>
      </c>
      <c r="BN71" s="3" t="s">
        <v>155</v>
      </c>
      <c r="BO71" s="3" t="s">
        <v>159</v>
      </c>
      <c r="BP71" s="3" t="s">
        <v>160</v>
      </c>
      <c r="BQ71" s="54">
        <v>5974660</v>
      </c>
      <c r="BR71" s="59">
        <f>COUNT($BQ$4:$BQ71) / COUNT($BQ$4:$BQ$292)</f>
        <v>0.23529411764705882</v>
      </c>
    </row>
    <row r="72" spans="64:70" x14ac:dyDescent="0.25">
      <c r="BL72" s="3">
        <v>2011</v>
      </c>
      <c r="BM72" s="3" t="s">
        <v>296</v>
      </c>
      <c r="BN72" s="3" t="s">
        <v>7</v>
      </c>
      <c r="BO72" s="3" t="s">
        <v>290</v>
      </c>
      <c r="BP72" s="3" t="s">
        <v>291</v>
      </c>
      <c r="BQ72" s="54">
        <v>6112832</v>
      </c>
      <c r="BR72" s="59">
        <f>COUNT($BQ$4:$BQ72) / COUNT($BQ$4:$BQ$292)</f>
        <v>0.23875432525951557</v>
      </c>
    </row>
    <row r="73" spans="64:70" x14ac:dyDescent="0.25">
      <c r="BL73" s="3">
        <v>2015</v>
      </c>
      <c r="BM73" s="3" t="s">
        <v>179</v>
      </c>
      <c r="BN73" s="3" t="s">
        <v>7</v>
      </c>
      <c r="BO73" s="3" t="s">
        <v>36</v>
      </c>
      <c r="BP73" s="3" t="s">
        <v>37</v>
      </c>
      <c r="BQ73" s="54">
        <v>6297297</v>
      </c>
      <c r="BR73" s="59">
        <f>COUNT($BQ$4:$BQ73) / COUNT($BQ$4:$BQ$292)</f>
        <v>0.24221453287197231</v>
      </c>
    </row>
    <row r="74" spans="64:70" x14ac:dyDescent="0.25">
      <c r="BL74" s="3">
        <v>2011</v>
      </c>
      <c r="BM74" s="3" t="s">
        <v>302</v>
      </c>
      <c r="BN74" s="3" t="s">
        <v>7</v>
      </c>
      <c r="BO74" s="3" t="s">
        <v>45</v>
      </c>
      <c r="BP74" s="3" t="s">
        <v>184</v>
      </c>
      <c r="BQ74" s="54">
        <v>6411317</v>
      </c>
      <c r="BR74" s="59">
        <f>COUNT($BQ$4:$BQ74) / COUNT($BQ$4:$BQ$292)</f>
        <v>0.24567474048442905</v>
      </c>
    </row>
    <row r="75" spans="64:70" x14ac:dyDescent="0.25">
      <c r="BL75" s="3">
        <v>2009</v>
      </c>
      <c r="BM75" s="3" t="s">
        <v>353</v>
      </c>
      <c r="BN75" s="3" t="s">
        <v>7</v>
      </c>
      <c r="BO75" s="3" t="s">
        <v>45</v>
      </c>
      <c r="BP75" s="3" t="s">
        <v>184</v>
      </c>
      <c r="BQ75" s="54">
        <v>6834701</v>
      </c>
      <c r="BR75" s="59">
        <f>COUNT($BQ$4:$BQ75) / COUNT($BQ$4:$BQ$292)</f>
        <v>0.2491349480968858</v>
      </c>
    </row>
    <row r="76" spans="64:70" x14ac:dyDescent="0.25">
      <c r="BL76" s="3">
        <v>2015</v>
      </c>
      <c r="BM76" s="3" t="s">
        <v>168</v>
      </c>
      <c r="BN76" s="3" t="s">
        <v>7</v>
      </c>
      <c r="BO76" s="3" t="s">
        <v>36</v>
      </c>
      <c r="BP76" s="3" t="s">
        <v>81</v>
      </c>
      <c r="BQ76" s="54">
        <v>6841334</v>
      </c>
      <c r="BR76" s="59">
        <f>COUNT($BQ$4:$BQ76) / COUNT($BQ$4:$BQ$292)</f>
        <v>0.25259515570934254</v>
      </c>
    </row>
    <row r="77" spans="64:70" x14ac:dyDescent="0.25">
      <c r="BL77" s="3">
        <v>2014</v>
      </c>
      <c r="BM77" s="3" t="s">
        <v>209</v>
      </c>
      <c r="BN77" s="3" t="s">
        <v>7</v>
      </c>
      <c r="BO77" s="3" t="s">
        <v>48</v>
      </c>
      <c r="BP77" s="3" t="s">
        <v>49</v>
      </c>
      <c r="BQ77" s="54">
        <v>7039906</v>
      </c>
      <c r="BR77" s="59">
        <f>COUNT($BQ$4:$BQ77) / COUNT($BQ$4:$BQ$292)</f>
        <v>0.25605536332179929</v>
      </c>
    </row>
    <row r="78" spans="64:70" x14ac:dyDescent="0.25">
      <c r="BL78" s="3">
        <v>2010</v>
      </c>
      <c r="BM78" s="3" t="s">
        <v>337</v>
      </c>
      <c r="BN78" s="3" t="s">
        <v>155</v>
      </c>
      <c r="BO78" s="3" t="s">
        <v>54</v>
      </c>
      <c r="BP78" s="3" t="s">
        <v>55</v>
      </c>
      <c r="BQ78" s="54">
        <v>7062382</v>
      </c>
      <c r="BR78" s="59">
        <f>COUNT($BQ$4:$BQ78) / COUNT($BQ$4:$BQ$292)</f>
        <v>0.25951557093425603</v>
      </c>
    </row>
    <row r="79" spans="64:70" x14ac:dyDescent="0.25">
      <c r="BL79" s="3">
        <v>2016</v>
      </c>
      <c r="BM79" s="3" t="s">
        <v>143</v>
      </c>
      <c r="BN79" s="3" t="s">
        <v>7</v>
      </c>
      <c r="BO79" s="3" t="s">
        <v>12</v>
      </c>
      <c r="BP79" s="3" t="s">
        <v>105</v>
      </c>
      <c r="BQ79" s="54">
        <v>7239412</v>
      </c>
      <c r="BR79" s="59">
        <f>COUNT($BQ$4:$BQ79) / COUNT($BQ$4:$BQ$292)</f>
        <v>0.26297577854671278</v>
      </c>
    </row>
    <row r="80" spans="64:70" x14ac:dyDescent="0.25">
      <c r="BL80" s="3">
        <v>2016</v>
      </c>
      <c r="BM80" s="3" t="s">
        <v>144</v>
      </c>
      <c r="BN80" s="3" t="s">
        <v>7</v>
      </c>
      <c r="BO80" s="3" t="s">
        <v>25</v>
      </c>
      <c r="BP80" s="3" t="s">
        <v>26</v>
      </c>
      <c r="BQ80" s="54">
        <v>7247642</v>
      </c>
      <c r="BR80" s="59">
        <f>COUNT($BQ$4:$BQ80) / COUNT($BQ$4:$BQ$292)</f>
        <v>0.26643598615916952</v>
      </c>
    </row>
    <row r="81" spans="64:71" x14ac:dyDescent="0.25">
      <c r="BL81" s="3">
        <v>2015</v>
      </c>
      <c r="BM81" s="3" t="s">
        <v>177</v>
      </c>
      <c r="BN81" s="3" t="s">
        <v>7</v>
      </c>
      <c r="BO81" s="3" t="s">
        <v>20</v>
      </c>
      <c r="BP81" s="3" t="s">
        <v>178</v>
      </c>
      <c r="BQ81" s="54">
        <v>7329784</v>
      </c>
      <c r="BR81" s="59">
        <f>COUNT($BQ$4:$BQ81) / COUNT($BQ$4:$BQ$292)</f>
        <v>0.26989619377162632</v>
      </c>
    </row>
    <row r="82" spans="64:71" x14ac:dyDescent="0.25">
      <c r="BL82" s="3">
        <v>2012</v>
      </c>
      <c r="BM82" s="3" t="s">
        <v>249</v>
      </c>
      <c r="BN82" s="3" t="s">
        <v>7</v>
      </c>
      <c r="BO82" s="3" t="s">
        <v>20</v>
      </c>
      <c r="BP82" s="3" t="s">
        <v>23</v>
      </c>
      <c r="BQ82" s="54">
        <v>7348070</v>
      </c>
      <c r="BR82" s="59">
        <f>COUNT($BQ$4:$BQ82) / COUNT($BQ$4:$BQ$292)</f>
        <v>0.27335640138408307</v>
      </c>
    </row>
    <row r="83" spans="64:71" x14ac:dyDescent="0.25">
      <c r="BL83" s="3">
        <v>2009</v>
      </c>
      <c r="BM83" s="3" t="s">
        <v>388</v>
      </c>
      <c r="BN83" s="3" t="s">
        <v>7</v>
      </c>
      <c r="BO83" s="3" t="s">
        <v>12</v>
      </c>
      <c r="BP83" s="3" t="s">
        <v>58</v>
      </c>
      <c r="BQ83" s="54">
        <v>7362181</v>
      </c>
      <c r="BR83" s="59">
        <f>COUNT($BQ$4:$BQ83) / COUNT($BQ$4:$BQ$292)</f>
        <v>0.27681660899653981</v>
      </c>
    </row>
    <row r="84" spans="64:71" x14ac:dyDescent="0.25">
      <c r="BL84" s="3">
        <v>2019</v>
      </c>
      <c r="BM84" s="3" t="s">
        <v>44</v>
      </c>
      <c r="BN84" s="3" t="s">
        <v>7</v>
      </c>
      <c r="BO84" s="3" t="s">
        <v>45</v>
      </c>
      <c r="BP84" s="3" t="s">
        <v>46</v>
      </c>
      <c r="BQ84" s="54">
        <v>7473581</v>
      </c>
      <c r="BR84" s="59">
        <f>COUNT($BQ$4:$BQ84) / COUNT($BQ$4:$BQ$292)</f>
        <v>0.28027681660899656</v>
      </c>
    </row>
    <row r="85" spans="64:71" x14ac:dyDescent="0.25">
      <c r="BL85" s="3">
        <v>2017</v>
      </c>
      <c r="BM85" s="3" t="s">
        <v>109</v>
      </c>
      <c r="BN85" s="3" t="s">
        <v>7</v>
      </c>
      <c r="BO85" s="3" t="s">
        <v>87</v>
      </c>
      <c r="BP85" s="3" t="s">
        <v>88</v>
      </c>
      <c r="BQ85" s="54">
        <v>7593166</v>
      </c>
      <c r="BR85" s="59">
        <f>COUNT($BQ$4:$BQ85) / COUNT($BQ$4:$BQ$292)</f>
        <v>0.2837370242214533</v>
      </c>
      <c r="BS85">
        <v>4</v>
      </c>
    </row>
    <row r="86" spans="64:71" x14ac:dyDescent="0.25">
      <c r="BL86" s="3">
        <v>2009</v>
      </c>
      <c r="BM86" s="3" t="s">
        <v>350</v>
      </c>
      <c r="BN86" s="3" t="s">
        <v>7</v>
      </c>
      <c r="BO86" s="3" t="s">
        <v>12</v>
      </c>
      <c r="BP86" s="3" t="s">
        <v>58</v>
      </c>
      <c r="BQ86" s="54">
        <v>7653522</v>
      </c>
      <c r="BR86" s="59">
        <f>COUNT($BQ$4:$BQ86) / COUNT($BQ$4:$BQ$292)</f>
        <v>0.28719723183391005</v>
      </c>
    </row>
    <row r="87" spans="64:71" x14ac:dyDescent="0.25">
      <c r="BL87" s="3">
        <v>2018</v>
      </c>
      <c r="BM87" s="3" t="s">
        <v>78</v>
      </c>
      <c r="BN87" s="3" t="s">
        <v>7</v>
      </c>
      <c r="BO87" s="3" t="s">
        <v>25</v>
      </c>
      <c r="BP87" s="3" t="s">
        <v>26</v>
      </c>
      <c r="BQ87" s="54">
        <v>7732859</v>
      </c>
      <c r="BR87" s="59">
        <f>COUNT($BQ$4:$BQ87) / COUNT($BQ$4:$BQ$292)</f>
        <v>0.29065743944636679</v>
      </c>
    </row>
    <row r="88" spans="64:71" x14ac:dyDescent="0.25">
      <c r="BL88" s="3">
        <v>2018</v>
      </c>
      <c r="BM88" s="3" t="s">
        <v>82</v>
      </c>
      <c r="BN88" s="3" t="s">
        <v>7</v>
      </c>
      <c r="BO88" s="3" t="s">
        <v>36</v>
      </c>
      <c r="BP88" s="3" t="s">
        <v>81</v>
      </c>
      <c r="BQ88" s="54">
        <v>7782700</v>
      </c>
      <c r="BR88" s="59">
        <f>COUNT($BQ$4:$BQ88) / COUNT($BQ$4:$BQ$292)</f>
        <v>0.29411764705882354</v>
      </c>
    </row>
    <row r="89" spans="64:71" x14ac:dyDescent="0.25">
      <c r="BL89" s="3">
        <v>2013</v>
      </c>
      <c r="BM89" s="3" t="s">
        <v>220</v>
      </c>
      <c r="BN89" s="3" t="s">
        <v>7</v>
      </c>
      <c r="BO89" s="3" t="s">
        <v>36</v>
      </c>
      <c r="BP89" s="3" t="s">
        <v>94</v>
      </c>
      <c r="BQ89" s="54">
        <v>7820480</v>
      </c>
      <c r="BR89" s="59">
        <f>COUNT($BQ$4:$BQ89) / COUNT($BQ$4:$BQ$292)</f>
        <v>0.29757785467128028</v>
      </c>
    </row>
    <row r="90" spans="64:71" x14ac:dyDescent="0.25">
      <c r="BL90" s="3">
        <v>2016</v>
      </c>
      <c r="BM90" s="3" t="s">
        <v>152</v>
      </c>
      <c r="BN90" s="3" t="s">
        <v>7</v>
      </c>
      <c r="BO90" s="3" t="s">
        <v>25</v>
      </c>
      <c r="BP90" s="3" t="s">
        <v>153</v>
      </c>
      <c r="BQ90" s="54">
        <v>7875753</v>
      </c>
      <c r="BR90" s="59">
        <f>COUNT($BQ$4:$BQ90) / COUNT($BQ$4:$BQ$292)</f>
        <v>0.30103806228373703</v>
      </c>
    </row>
    <row r="91" spans="64:71" x14ac:dyDescent="0.25">
      <c r="BL91" s="3">
        <v>2016</v>
      </c>
      <c r="BM91" s="3" t="s">
        <v>129</v>
      </c>
      <c r="BN91" s="3" t="s">
        <v>7</v>
      </c>
      <c r="BO91" s="3" t="s">
        <v>36</v>
      </c>
      <c r="BP91" s="3" t="s">
        <v>130</v>
      </c>
      <c r="BQ91" s="54">
        <v>7912028</v>
      </c>
      <c r="BR91" s="59">
        <f>COUNT($BQ$4:$BQ91) / COUNT($BQ$4:$BQ$292)</f>
        <v>0.30449826989619377</v>
      </c>
    </row>
    <row r="92" spans="64:71" x14ac:dyDescent="0.25">
      <c r="BL92" s="3">
        <v>2013</v>
      </c>
      <c r="BM92" s="3" t="s">
        <v>239</v>
      </c>
      <c r="BN92" s="3" t="s">
        <v>92</v>
      </c>
      <c r="BO92" s="3" t="s">
        <v>20</v>
      </c>
      <c r="BP92" s="3" t="s">
        <v>120</v>
      </c>
      <c r="BQ92" s="54">
        <v>7962738</v>
      </c>
      <c r="BR92" s="59">
        <f>COUNT($BQ$4:$BQ92) / COUNT($BQ$4:$BQ$292)</f>
        <v>0.30795847750865052</v>
      </c>
    </row>
    <row r="93" spans="64:71" x14ac:dyDescent="0.25">
      <c r="BL93" s="3">
        <v>2013</v>
      </c>
      <c r="BM93" s="3" t="s">
        <v>241</v>
      </c>
      <c r="BN93" s="3" t="s">
        <v>92</v>
      </c>
      <c r="BO93" s="3" t="s">
        <v>20</v>
      </c>
      <c r="BP93" s="3" t="s">
        <v>120</v>
      </c>
      <c r="BQ93" s="54">
        <v>7962738</v>
      </c>
      <c r="BR93" s="59">
        <f>COUNT($BQ$4:$BQ93) / COUNT($BQ$4:$BQ$292)</f>
        <v>0.31141868512110726</v>
      </c>
    </row>
    <row r="94" spans="64:71" x14ac:dyDescent="0.25">
      <c r="BL94" s="3">
        <v>2013</v>
      </c>
      <c r="BM94" s="3" t="s">
        <v>240</v>
      </c>
      <c r="BN94" s="3" t="s">
        <v>92</v>
      </c>
      <c r="BO94" s="3" t="s">
        <v>20</v>
      </c>
      <c r="BP94" s="3" t="s">
        <v>120</v>
      </c>
      <c r="BQ94" s="54">
        <v>7962738</v>
      </c>
      <c r="BR94" s="59">
        <f>COUNT($BQ$4:$BQ94) / COUNT($BQ$4:$BQ$292)</f>
        <v>0.31487889273356401</v>
      </c>
    </row>
    <row r="95" spans="64:71" x14ac:dyDescent="0.25">
      <c r="BL95" s="30">
        <v>2020</v>
      </c>
      <c r="BM95" s="30" t="s">
        <v>1298</v>
      </c>
      <c r="BN95" s="30" t="s">
        <v>7</v>
      </c>
      <c r="BO95" s="30" t="s">
        <v>20</v>
      </c>
      <c r="BP95" s="30" t="s">
        <v>23</v>
      </c>
      <c r="BQ95" s="54">
        <v>8054747</v>
      </c>
      <c r="BR95" s="59">
        <f>COUNT($BQ$4:$BQ95) / COUNT($BQ$4:$BQ$292)</f>
        <v>0.31833910034602075</v>
      </c>
    </row>
    <row r="96" spans="64:71" x14ac:dyDescent="0.25">
      <c r="BL96" s="3">
        <v>2012</v>
      </c>
      <c r="BM96" s="3" t="s">
        <v>250</v>
      </c>
      <c r="BN96" s="3" t="s">
        <v>7</v>
      </c>
      <c r="BO96" s="3" t="s">
        <v>20</v>
      </c>
      <c r="BP96" s="3" t="s">
        <v>178</v>
      </c>
      <c r="BQ96" s="54">
        <v>8165173</v>
      </c>
      <c r="BR96" s="59">
        <f>COUNT($BQ$4:$BQ96) / COUNT($BQ$4:$BQ$292)</f>
        <v>0.3217993079584775</v>
      </c>
    </row>
    <row r="97" spans="64:71" x14ac:dyDescent="0.25">
      <c r="BL97" s="3">
        <v>2013</v>
      </c>
      <c r="BM97" s="3" t="s">
        <v>229</v>
      </c>
      <c r="BN97" s="3" t="s">
        <v>7</v>
      </c>
      <c r="BO97" s="3" t="s">
        <v>74</v>
      </c>
      <c r="BP97" s="3" t="s">
        <v>75</v>
      </c>
      <c r="BQ97" s="54">
        <v>8325627</v>
      </c>
      <c r="BR97" s="59">
        <f>COUNT($BQ$4:$BQ97) / COUNT($BQ$4:$BQ$292)</f>
        <v>0.32525951557093424</v>
      </c>
    </row>
    <row r="98" spans="64:71" x14ac:dyDescent="0.25">
      <c r="BL98" s="3">
        <v>2009</v>
      </c>
      <c r="BM98" s="3" t="s">
        <v>357</v>
      </c>
      <c r="BN98" s="3" t="s">
        <v>283</v>
      </c>
      <c r="BO98" s="3" t="s">
        <v>36</v>
      </c>
      <c r="BP98" s="3" t="s">
        <v>37</v>
      </c>
      <c r="BQ98" s="54">
        <v>8362232</v>
      </c>
      <c r="BR98" s="59">
        <f>COUNT($BQ$4:$BQ98) / COUNT($BQ$4:$BQ$292)</f>
        <v>0.32871972318339099</v>
      </c>
    </row>
    <row r="99" spans="64:71" x14ac:dyDescent="0.25">
      <c r="BL99" s="3">
        <v>2012</v>
      </c>
      <c r="BM99" s="3" t="s">
        <v>272</v>
      </c>
      <c r="BN99" s="3" t="s">
        <v>7</v>
      </c>
      <c r="BO99" s="3" t="s">
        <v>36</v>
      </c>
      <c r="BP99" s="3" t="s">
        <v>98</v>
      </c>
      <c r="BQ99" s="54">
        <v>8529800</v>
      </c>
      <c r="BR99" s="59">
        <f>COUNT($BQ$4:$BQ99) / COUNT($BQ$4:$BQ$292)</f>
        <v>0.33217993079584773</v>
      </c>
    </row>
    <row r="100" spans="64:71" x14ac:dyDescent="0.25">
      <c r="BL100" s="3">
        <v>2018</v>
      </c>
      <c r="BM100" s="3" t="s">
        <v>69</v>
      </c>
      <c r="BN100" s="3" t="s">
        <v>7</v>
      </c>
      <c r="BO100" s="3" t="s">
        <v>20</v>
      </c>
      <c r="BP100" s="3" t="s">
        <v>21</v>
      </c>
      <c r="BQ100" s="54">
        <v>8771513</v>
      </c>
      <c r="BR100" s="59">
        <f>COUNT($BQ$4:$BQ100) / COUNT($BQ$4:$BQ$292)</f>
        <v>0.33564013840830448</v>
      </c>
    </row>
    <row r="101" spans="64:71" x14ac:dyDescent="0.25">
      <c r="BL101" s="3">
        <v>2013</v>
      </c>
      <c r="BM101" s="3" t="s">
        <v>237</v>
      </c>
      <c r="BN101" s="3" t="s">
        <v>155</v>
      </c>
      <c r="BO101" s="3" t="s">
        <v>64</v>
      </c>
      <c r="BP101" s="3" t="s">
        <v>238</v>
      </c>
      <c r="BQ101" s="54">
        <v>8863939</v>
      </c>
      <c r="BR101" s="59">
        <f>COUNT($BQ$4:$BQ101) / COUNT($BQ$4:$BQ$292)</f>
        <v>0.33910034602076122</v>
      </c>
    </row>
    <row r="102" spans="64:71" x14ac:dyDescent="0.25">
      <c r="BL102" s="3">
        <v>2015</v>
      </c>
      <c r="BM102" s="3" t="s">
        <v>182</v>
      </c>
      <c r="BN102" s="3" t="s">
        <v>7</v>
      </c>
      <c r="BO102" s="3" t="s">
        <v>12</v>
      </c>
      <c r="BP102" s="3" t="s">
        <v>105</v>
      </c>
      <c r="BQ102" s="54">
        <v>8959499</v>
      </c>
      <c r="BR102" s="59">
        <f>COUNT($BQ$4:$BQ102) / COUNT($BQ$4:$BQ$292)</f>
        <v>0.34256055363321797</v>
      </c>
    </row>
    <row r="103" spans="64:71" x14ac:dyDescent="0.25">
      <c r="BL103" s="3">
        <v>2016</v>
      </c>
      <c r="BM103" s="3" t="s">
        <v>136</v>
      </c>
      <c r="BN103" s="3" t="s">
        <v>67</v>
      </c>
      <c r="BO103" s="3" t="s">
        <v>20</v>
      </c>
      <c r="BP103" s="3" t="s">
        <v>23</v>
      </c>
      <c r="BQ103" s="54">
        <v>9166092</v>
      </c>
      <c r="BR103" s="59">
        <f>COUNT($BQ$4:$BQ103) / COUNT($BQ$4:$BQ$292)</f>
        <v>0.34602076124567471</v>
      </c>
    </row>
    <row r="104" spans="64:71" x14ac:dyDescent="0.25">
      <c r="BL104" s="3">
        <v>2010</v>
      </c>
      <c r="BM104" s="3" t="s">
        <v>346</v>
      </c>
      <c r="BN104" s="3" t="s">
        <v>92</v>
      </c>
      <c r="BO104" s="3" t="s">
        <v>32</v>
      </c>
      <c r="BP104" s="3" t="s">
        <v>33</v>
      </c>
      <c r="BQ104" s="54">
        <v>9180457</v>
      </c>
      <c r="BR104" s="59">
        <f>COUNT($BQ$4:$BQ104) / COUNT($BQ$4:$BQ$292)</f>
        <v>0.34948096885813151</v>
      </c>
    </row>
    <row r="105" spans="64:71" x14ac:dyDescent="0.25">
      <c r="BL105" s="3">
        <v>2010</v>
      </c>
      <c r="BM105" s="3" t="s">
        <v>345</v>
      </c>
      <c r="BN105" s="3" t="s">
        <v>92</v>
      </c>
      <c r="BO105" s="3" t="s">
        <v>32</v>
      </c>
      <c r="BP105" s="3" t="s">
        <v>33</v>
      </c>
      <c r="BQ105" s="54">
        <v>9180457</v>
      </c>
      <c r="BR105" s="59">
        <f>COUNT($BQ$4:$BQ105) / COUNT($BQ$4:$BQ$292)</f>
        <v>0.35294117647058826</v>
      </c>
    </row>
    <row r="106" spans="64:71" x14ac:dyDescent="0.25">
      <c r="BL106" s="3">
        <v>2012</v>
      </c>
      <c r="BM106" s="3" t="s">
        <v>263</v>
      </c>
      <c r="BN106" s="3" t="s">
        <v>7</v>
      </c>
      <c r="BO106" s="3" t="s">
        <v>8</v>
      </c>
      <c r="BP106" s="3" t="s">
        <v>264</v>
      </c>
      <c r="BQ106" s="54">
        <v>9390819</v>
      </c>
      <c r="BR106" s="59">
        <f>COUNT($BQ$4:$BQ106) / COUNT($BQ$4:$BQ$292)</f>
        <v>0.356401384083045</v>
      </c>
    </row>
    <row r="107" spans="64:71" x14ac:dyDescent="0.25">
      <c r="BL107" s="3">
        <v>2015</v>
      </c>
      <c r="BM107" s="3" t="s">
        <v>174</v>
      </c>
      <c r="BN107" s="3" t="s">
        <v>7</v>
      </c>
      <c r="BO107" s="3" t="s">
        <v>20</v>
      </c>
      <c r="BP107" s="3" t="s">
        <v>23</v>
      </c>
      <c r="BQ107" s="54">
        <v>9401729</v>
      </c>
      <c r="BR107" s="59">
        <f>COUNT($BQ$4:$BQ107) / COUNT($BQ$4:$BQ$292)</f>
        <v>0.35986159169550175</v>
      </c>
    </row>
    <row r="108" spans="64:71" x14ac:dyDescent="0.25">
      <c r="BL108" s="3">
        <v>2012</v>
      </c>
      <c r="BM108" s="3" t="s">
        <v>274</v>
      </c>
      <c r="BN108" s="3" t="s">
        <v>7</v>
      </c>
      <c r="BO108" s="3" t="s">
        <v>25</v>
      </c>
      <c r="BP108" s="3" t="s">
        <v>151</v>
      </c>
      <c r="BQ108" s="54">
        <v>9522927</v>
      </c>
      <c r="BR108" s="59">
        <f>COUNT($BQ$4:$BQ108) / COUNT($BQ$4:$BQ$292)</f>
        <v>0.36332179930795849</v>
      </c>
    </row>
    <row r="109" spans="64:71" x14ac:dyDescent="0.25">
      <c r="BL109" s="3">
        <v>2010</v>
      </c>
      <c r="BM109" s="3" t="s">
        <v>316</v>
      </c>
      <c r="BN109" s="3" t="s">
        <v>155</v>
      </c>
      <c r="BO109" s="3" t="s">
        <v>216</v>
      </c>
      <c r="BP109" s="3" t="s">
        <v>316</v>
      </c>
      <c r="BQ109" s="54">
        <v>9695495</v>
      </c>
      <c r="BR109" s="59">
        <f>COUNT($BQ$4:$BQ109) / COUNT($BQ$4:$BQ$292)</f>
        <v>0.36678200692041524</v>
      </c>
    </row>
    <row r="110" spans="64:71" x14ac:dyDescent="0.25">
      <c r="BL110" s="3">
        <v>2016</v>
      </c>
      <c r="BM110" s="3" t="s">
        <v>142</v>
      </c>
      <c r="BN110" s="3" t="s">
        <v>7</v>
      </c>
      <c r="BO110" s="3" t="s">
        <v>32</v>
      </c>
      <c r="BP110" s="3" t="s">
        <v>33</v>
      </c>
      <c r="BQ110" s="54">
        <v>9821320</v>
      </c>
      <c r="BR110" s="59">
        <f>COUNT($BQ$4:$BQ110) / COUNT($BQ$4:$BQ$292)</f>
        <v>0.37024221453287198</v>
      </c>
    </row>
    <row r="111" spans="64:71" x14ac:dyDescent="0.25">
      <c r="BL111" s="30">
        <v>2019</v>
      </c>
      <c r="BM111" s="30" t="s">
        <v>11</v>
      </c>
      <c r="BN111" s="30" t="s">
        <v>7</v>
      </c>
      <c r="BO111" s="30" t="s">
        <v>12</v>
      </c>
      <c r="BP111" s="30" t="s">
        <v>13</v>
      </c>
      <c r="BQ111" s="54">
        <v>9912218</v>
      </c>
      <c r="BR111" s="59">
        <f>COUNT($BQ$4:$BQ111) / COUNT($BQ$4:$BQ$292)</f>
        <v>0.37370242214532873</v>
      </c>
    </row>
    <row r="112" spans="64:71" x14ac:dyDescent="0.25">
      <c r="BL112" s="3">
        <v>2015</v>
      </c>
      <c r="BM112" s="3" t="s">
        <v>158</v>
      </c>
      <c r="BN112" s="3" t="s">
        <v>67</v>
      </c>
      <c r="BO112" s="3" t="s">
        <v>159</v>
      </c>
      <c r="BP112" s="3" t="s">
        <v>160</v>
      </c>
      <c r="BQ112" s="54">
        <v>10053292</v>
      </c>
      <c r="BR112" s="59">
        <f>COUNT($BQ$4:$BQ112) / COUNT($BQ$4:$BQ$292)</f>
        <v>0.37716262975778547</v>
      </c>
      <c r="BS112">
        <v>5</v>
      </c>
    </row>
    <row r="113" spans="64:70" x14ac:dyDescent="0.25">
      <c r="BL113" s="3">
        <v>2019</v>
      </c>
      <c r="BM113" s="3" t="s">
        <v>35</v>
      </c>
      <c r="BN113" s="3" t="s">
        <v>7</v>
      </c>
      <c r="BO113" s="3" t="s">
        <v>36</v>
      </c>
      <c r="BP113" s="3" t="s">
        <v>37</v>
      </c>
      <c r="BQ113" s="54">
        <v>10069292</v>
      </c>
      <c r="BR113" s="59">
        <f>COUNT($BQ$4:$BQ113) / COUNT($BQ$4:$BQ$292)</f>
        <v>0.38062283737024222</v>
      </c>
    </row>
    <row r="114" spans="64:70" x14ac:dyDescent="0.25">
      <c r="BL114" s="3">
        <v>2014</v>
      </c>
      <c r="BM114" s="3" t="s">
        <v>204</v>
      </c>
      <c r="BN114" s="3" t="s">
        <v>7</v>
      </c>
      <c r="BO114" s="3" t="s">
        <v>12</v>
      </c>
      <c r="BP114" s="3" t="s">
        <v>105</v>
      </c>
      <c r="BQ114" s="54">
        <v>10286220</v>
      </c>
      <c r="BR114" s="59">
        <f>COUNT($BQ$4:$BQ114) / COUNT($BQ$4:$BQ$292)</f>
        <v>0.38408304498269896</v>
      </c>
    </row>
    <row r="115" spans="64:70" x14ac:dyDescent="0.25">
      <c r="BL115" s="3">
        <v>2014</v>
      </c>
      <c r="BM115" s="3" t="s">
        <v>207</v>
      </c>
      <c r="BN115" s="3" t="s">
        <v>7</v>
      </c>
      <c r="BO115" s="3" t="s">
        <v>36</v>
      </c>
      <c r="BP115" s="3" t="s">
        <v>68</v>
      </c>
      <c r="BQ115" s="54">
        <v>10315690</v>
      </c>
      <c r="BR115" s="59">
        <f>COUNT($BQ$4:$BQ115) / COUNT($BQ$4:$BQ$292)</f>
        <v>0.38754325259515571</v>
      </c>
    </row>
    <row r="116" spans="64:70" x14ac:dyDescent="0.25">
      <c r="BL116" s="3">
        <v>2012</v>
      </c>
      <c r="BM116" s="3" t="s">
        <v>273</v>
      </c>
      <c r="BN116" s="3" t="s">
        <v>7</v>
      </c>
      <c r="BO116" s="3" t="s">
        <v>36</v>
      </c>
      <c r="BP116" s="3" t="s">
        <v>81</v>
      </c>
      <c r="BQ116" s="54">
        <v>10316346</v>
      </c>
      <c r="BR116" s="59">
        <f>COUNT($BQ$4:$BQ116) / COUNT($BQ$4:$BQ$292)</f>
        <v>0.39100346020761245</v>
      </c>
    </row>
    <row r="117" spans="64:70" x14ac:dyDescent="0.25">
      <c r="BL117" s="3">
        <v>2014</v>
      </c>
      <c r="BM117" s="3" t="s">
        <v>206</v>
      </c>
      <c r="BN117" s="3" t="s">
        <v>7</v>
      </c>
      <c r="BO117" s="3" t="s">
        <v>36</v>
      </c>
      <c r="BP117" s="3" t="s">
        <v>81</v>
      </c>
      <c r="BQ117" s="54">
        <v>10456416</v>
      </c>
      <c r="BR117" s="59">
        <f>COUNT($BQ$4:$BQ117) / COUNT($BQ$4:$BQ$292)</f>
        <v>0.3944636678200692</v>
      </c>
    </row>
    <row r="118" spans="64:70" x14ac:dyDescent="0.25">
      <c r="BL118" s="3">
        <v>2019</v>
      </c>
      <c r="BM118" s="3" t="s">
        <v>38</v>
      </c>
      <c r="BN118" s="3" t="s">
        <v>7</v>
      </c>
      <c r="BO118" s="3" t="s">
        <v>36</v>
      </c>
      <c r="BP118" s="3" t="s">
        <v>37</v>
      </c>
      <c r="BQ118" s="54">
        <v>10518957</v>
      </c>
      <c r="BR118" s="59">
        <f>COUNT($BQ$4:$BQ118) / COUNT($BQ$4:$BQ$292)</f>
        <v>0.39792387543252594</v>
      </c>
    </row>
    <row r="119" spans="64:70" x14ac:dyDescent="0.25">
      <c r="BL119" s="3">
        <v>2018</v>
      </c>
      <c r="BM119" s="3" t="s">
        <v>66</v>
      </c>
      <c r="BN119" s="3" t="s">
        <v>67</v>
      </c>
      <c r="BO119" s="3" t="s">
        <v>36</v>
      </c>
      <c r="BP119" s="3" t="s">
        <v>68</v>
      </c>
      <c r="BQ119" s="54">
        <v>10920662</v>
      </c>
      <c r="BR119" s="59">
        <f>COUNT($BQ$4:$BQ119) / COUNT($BQ$4:$BQ$292)</f>
        <v>0.40138408304498269</v>
      </c>
    </row>
    <row r="120" spans="64:70" x14ac:dyDescent="0.25">
      <c r="BL120" s="3">
        <v>2009</v>
      </c>
      <c r="BM120" s="3" t="s">
        <v>358</v>
      </c>
      <c r="BN120" s="3" t="s">
        <v>7</v>
      </c>
      <c r="BO120" s="3" t="s">
        <v>36</v>
      </c>
      <c r="BP120" s="3" t="s">
        <v>37</v>
      </c>
      <c r="BQ120" s="54">
        <v>10920943</v>
      </c>
      <c r="BR120" s="59">
        <f>COUNT($BQ$4:$BQ120) / COUNT($BQ$4:$BQ$292)</f>
        <v>0.40484429065743943</v>
      </c>
    </row>
    <row r="121" spans="64:70" x14ac:dyDescent="0.25">
      <c r="BL121" s="3">
        <v>2010</v>
      </c>
      <c r="BM121" s="3" t="s">
        <v>348</v>
      </c>
      <c r="BN121" s="3" t="s">
        <v>155</v>
      </c>
      <c r="BO121" s="3" t="s">
        <v>54</v>
      </c>
      <c r="BP121" s="3" t="s">
        <v>55</v>
      </c>
      <c r="BQ121" s="54">
        <v>11019196</v>
      </c>
      <c r="BR121" s="59">
        <f>COUNT($BQ$4:$BQ121) / COUNT($BQ$4:$BQ$292)</f>
        <v>0.40830449826989618</v>
      </c>
    </row>
    <row r="122" spans="64:70" x14ac:dyDescent="0.25">
      <c r="BL122" s="3">
        <v>2017</v>
      </c>
      <c r="BM122" s="3" t="s">
        <v>118</v>
      </c>
      <c r="BN122" s="3" t="s">
        <v>7</v>
      </c>
      <c r="BO122" s="3" t="s">
        <v>25</v>
      </c>
      <c r="BP122" s="3" t="s">
        <v>117</v>
      </c>
      <c r="BQ122" s="54">
        <v>11304666</v>
      </c>
      <c r="BR122" s="59">
        <f>COUNT($BQ$4:$BQ122) / COUNT($BQ$4:$BQ$292)</f>
        <v>0.41176470588235292</v>
      </c>
    </row>
    <row r="123" spans="64:70" x14ac:dyDescent="0.25">
      <c r="BL123" s="3">
        <v>2016</v>
      </c>
      <c r="BM123" s="3" t="s">
        <v>127</v>
      </c>
      <c r="BN123" s="3" t="s">
        <v>7</v>
      </c>
      <c r="BO123" s="3" t="s">
        <v>64</v>
      </c>
      <c r="BP123" s="3" t="s">
        <v>128</v>
      </c>
      <c r="BQ123" s="54">
        <v>11679399</v>
      </c>
      <c r="BR123" s="59">
        <f>COUNT($BQ$4:$BQ123) / COUNT($BQ$4:$BQ$292)</f>
        <v>0.41522491349480967</v>
      </c>
    </row>
    <row r="124" spans="64:70" x14ac:dyDescent="0.25">
      <c r="BL124" s="3">
        <v>2017</v>
      </c>
      <c r="BM124" s="3" t="s">
        <v>102</v>
      </c>
      <c r="BN124" s="3" t="s">
        <v>7</v>
      </c>
      <c r="BO124" s="3" t="s">
        <v>87</v>
      </c>
      <c r="BP124" s="3" t="s">
        <v>88</v>
      </c>
      <c r="BQ124" s="54">
        <v>11684409</v>
      </c>
      <c r="BR124" s="59">
        <f>COUNT($BQ$4:$BQ124) / COUNT($BQ$4:$BQ$292)</f>
        <v>0.41868512110726641</v>
      </c>
    </row>
    <row r="125" spans="64:70" x14ac:dyDescent="0.25">
      <c r="BL125" s="3">
        <v>2017</v>
      </c>
      <c r="BM125" s="3" t="s">
        <v>110</v>
      </c>
      <c r="BN125" s="3" t="s">
        <v>7</v>
      </c>
      <c r="BO125" s="3" t="s">
        <v>87</v>
      </c>
      <c r="BP125" s="3" t="s">
        <v>88</v>
      </c>
      <c r="BQ125" s="54">
        <v>11729783</v>
      </c>
      <c r="BR125" s="59">
        <f>COUNT($BQ$4:$BQ125) / COUNT($BQ$4:$BQ$292)</f>
        <v>0.42214532871972316</v>
      </c>
    </row>
    <row r="126" spans="64:70" x14ac:dyDescent="0.25">
      <c r="BL126" s="3">
        <v>2017</v>
      </c>
      <c r="BM126" s="3" t="s">
        <v>103</v>
      </c>
      <c r="BN126" s="3" t="s">
        <v>7</v>
      </c>
      <c r="BO126" s="3" t="s">
        <v>54</v>
      </c>
      <c r="BP126" s="3" t="s">
        <v>55</v>
      </c>
      <c r="BQ126" s="54">
        <v>11926405</v>
      </c>
      <c r="BR126" s="59">
        <f>COUNT($BQ$4:$BQ126) / COUNT($BQ$4:$BQ$292)</f>
        <v>0.42560553633217996</v>
      </c>
    </row>
    <row r="127" spans="64:70" x14ac:dyDescent="0.25">
      <c r="BL127" s="3">
        <v>2010</v>
      </c>
      <c r="BM127" s="3" t="s">
        <v>334</v>
      </c>
      <c r="BN127" s="3" t="s">
        <v>155</v>
      </c>
      <c r="BO127" s="3" t="s">
        <v>54</v>
      </c>
      <c r="BP127" s="3" t="s">
        <v>335</v>
      </c>
      <c r="BQ127" s="54">
        <v>12167667</v>
      </c>
      <c r="BR127" s="59">
        <f>COUNT($BQ$4:$BQ127) / COUNT($BQ$4:$BQ$292)</f>
        <v>0.4290657439446367</v>
      </c>
    </row>
    <row r="128" spans="64:70" x14ac:dyDescent="0.25">
      <c r="BL128" s="3">
        <v>2014</v>
      </c>
      <c r="BM128" s="3" t="s">
        <v>188</v>
      </c>
      <c r="BN128" s="3" t="s">
        <v>92</v>
      </c>
      <c r="BO128" s="3" t="s">
        <v>25</v>
      </c>
      <c r="BP128" s="3" t="s">
        <v>29</v>
      </c>
      <c r="BQ128" s="54">
        <v>12571303</v>
      </c>
      <c r="BR128" s="59">
        <f>COUNT($BQ$4:$BQ128) / COUNT($BQ$4:$BQ$292)</f>
        <v>0.43252595155709345</v>
      </c>
    </row>
    <row r="129" spans="64:70" x14ac:dyDescent="0.25">
      <c r="BL129" s="3">
        <v>2019</v>
      </c>
      <c r="BM129" s="3" t="s">
        <v>16</v>
      </c>
      <c r="BN129" s="3" t="s">
        <v>7</v>
      </c>
      <c r="BO129" s="3" t="s">
        <v>17</v>
      </c>
      <c r="BP129" s="3" t="s">
        <v>18</v>
      </c>
      <c r="BQ129" s="54">
        <v>12667163</v>
      </c>
      <c r="BR129" s="59">
        <f>COUNT($BQ$4:$BQ129) / COUNT($BQ$4:$BQ$292)</f>
        <v>0.43598615916955019</v>
      </c>
    </row>
    <row r="130" spans="64:70" x14ac:dyDescent="0.25">
      <c r="BL130" s="3">
        <v>2017</v>
      </c>
      <c r="BM130" s="3" t="s">
        <v>111</v>
      </c>
      <c r="BN130" s="3" t="s">
        <v>7</v>
      </c>
      <c r="BO130" s="3" t="s">
        <v>36</v>
      </c>
      <c r="BP130" s="3" t="s">
        <v>81</v>
      </c>
      <c r="BQ130" s="54">
        <v>12691344</v>
      </c>
      <c r="BR130" s="59">
        <f>COUNT($BQ$4:$BQ130) / COUNT($BQ$4:$BQ$292)</f>
        <v>0.43944636678200694</v>
      </c>
    </row>
    <row r="131" spans="64:70" x14ac:dyDescent="0.25">
      <c r="BL131" s="30">
        <v>2020</v>
      </c>
      <c r="BM131" s="30" t="s">
        <v>1311</v>
      </c>
      <c r="BN131" s="30" t="s">
        <v>67</v>
      </c>
      <c r="BO131" s="30" t="s">
        <v>32</v>
      </c>
      <c r="BP131" s="30" t="s">
        <v>33</v>
      </c>
      <c r="BQ131" s="54">
        <v>12693252</v>
      </c>
      <c r="BR131" s="59">
        <f>COUNT($BQ$4:$BQ131) / COUNT($BQ$4:$BQ$292)</f>
        <v>0.44290657439446368</v>
      </c>
    </row>
    <row r="132" spans="64:70" x14ac:dyDescent="0.25">
      <c r="BL132" s="30">
        <v>2020</v>
      </c>
      <c r="BM132" s="30" t="s">
        <v>271</v>
      </c>
      <c r="BN132" s="30" t="s">
        <v>7</v>
      </c>
      <c r="BO132" s="30" t="s">
        <v>40</v>
      </c>
      <c r="BP132" s="30" t="s">
        <v>1307</v>
      </c>
      <c r="BQ132" s="54">
        <v>12744856</v>
      </c>
      <c r="BR132" s="59">
        <f>COUNT($BQ$4:$BQ132) / COUNT($BQ$4:$BQ$292)</f>
        <v>0.44636678200692043</v>
      </c>
    </row>
    <row r="133" spans="64:70" x14ac:dyDescent="0.25">
      <c r="BL133" s="3">
        <v>2018</v>
      </c>
      <c r="BM133" s="3" t="s">
        <v>52</v>
      </c>
      <c r="BN133" s="3" t="s">
        <v>7</v>
      </c>
      <c r="BO133" s="3" t="s">
        <v>20</v>
      </c>
      <c r="BP133" s="3" t="s">
        <v>23</v>
      </c>
      <c r="BQ133" s="54">
        <v>12834794</v>
      </c>
      <c r="BR133" s="59">
        <f>COUNT($BQ$4:$BQ133) / COUNT($BQ$4:$BQ$292)</f>
        <v>0.44982698961937717</v>
      </c>
    </row>
    <row r="134" spans="64:70" x14ac:dyDescent="0.25">
      <c r="BL134" s="3">
        <v>2011</v>
      </c>
      <c r="BM134" s="3" t="s">
        <v>282</v>
      </c>
      <c r="BN134" s="3" t="s">
        <v>283</v>
      </c>
      <c r="BO134" s="3" t="s">
        <v>54</v>
      </c>
      <c r="BP134" s="3" t="s">
        <v>243</v>
      </c>
      <c r="BQ134" s="54">
        <v>12970406</v>
      </c>
      <c r="BR134" s="59">
        <f>COUNT($BQ$4:$BQ134) / COUNT($BQ$4:$BQ$292)</f>
        <v>0.45328719723183392</v>
      </c>
    </row>
    <row r="135" spans="64:70" x14ac:dyDescent="0.25">
      <c r="BL135" s="3">
        <v>2016</v>
      </c>
      <c r="BM135" s="3" t="s">
        <v>150</v>
      </c>
      <c r="BN135" s="3" t="s">
        <v>7</v>
      </c>
      <c r="BO135" s="3" t="s">
        <v>25</v>
      </c>
      <c r="BP135" s="3" t="s">
        <v>151</v>
      </c>
      <c r="BQ135" s="54">
        <v>13029432</v>
      </c>
      <c r="BR135" s="59">
        <f>COUNT($BQ$4:$BQ135) / COUNT($BQ$4:$BQ$292)</f>
        <v>0.45674740484429066</v>
      </c>
    </row>
    <row r="136" spans="64:70" x14ac:dyDescent="0.25">
      <c r="BL136" s="30">
        <v>2020</v>
      </c>
      <c r="BM136" s="30" t="s">
        <v>1309</v>
      </c>
      <c r="BN136" s="30" t="s">
        <v>67</v>
      </c>
      <c r="BO136" s="30" t="s">
        <v>54</v>
      </c>
      <c r="BP136" s="30" t="s">
        <v>55</v>
      </c>
      <c r="BQ136" s="54">
        <v>13104214</v>
      </c>
      <c r="BR136" s="59">
        <f>COUNT($BQ$4:$BQ136) / COUNT($BQ$4:$BQ$292)</f>
        <v>0.46020761245674741</v>
      </c>
    </row>
    <row r="137" spans="64:70" x14ac:dyDescent="0.25">
      <c r="BL137" s="3">
        <v>2019</v>
      </c>
      <c r="BM137" s="3" t="s">
        <v>19</v>
      </c>
      <c r="BN137" s="3" t="s">
        <v>7</v>
      </c>
      <c r="BO137" s="3" t="s">
        <v>20</v>
      </c>
      <c r="BP137" s="3" t="s">
        <v>21</v>
      </c>
      <c r="BQ137" s="54">
        <v>13310794</v>
      </c>
      <c r="BR137" s="59">
        <f>COUNT($BQ$4:$BQ137) / COUNT($BQ$4:$BQ$292)</f>
        <v>0.46366782006920415</v>
      </c>
    </row>
    <row r="138" spans="64:70" x14ac:dyDescent="0.25">
      <c r="BL138" s="3">
        <v>2009</v>
      </c>
      <c r="BM138" s="3" t="s">
        <v>349</v>
      </c>
      <c r="BN138" s="3" t="s">
        <v>7</v>
      </c>
      <c r="BO138" s="3" t="s">
        <v>12</v>
      </c>
      <c r="BP138" s="3" t="s">
        <v>13</v>
      </c>
      <c r="BQ138" s="54">
        <v>13504065</v>
      </c>
      <c r="BR138" s="59">
        <f>COUNT($BQ$4:$BQ138) / COUNT($BQ$4:$BQ$292)</f>
        <v>0.4671280276816609</v>
      </c>
    </row>
    <row r="139" spans="64:70" x14ac:dyDescent="0.25">
      <c r="BL139" s="3">
        <v>2014</v>
      </c>
      <c r="BM139" s="3" t="s">
        <v>189</v>
      </c>
      <c r="BN139" s="3" t="s">
        <v>92</v>
      </c>
      <c r="BO139" s="3" t="s">
        <v>25</v>
      </c>
      <c r="BP139" s="3" t="s">
        <v>29</v>
      </c>
      <c r="BQ139" s="54">
        <v>13625740</v>
      </c>
      <c r="BR139" s="59">
        <f>COUNT($BQ$4:$BQ139) / COUNT($BQ$4:$BQ$292)</f>
        <v>0.47058823529411764</v>
      </c>
    </row>
    <row r="140" spans="64:70" x14ac:dyDescent="0.25">
      <c r="BL140" s="3">
        <v>2010</v>
      </c>
      <c r="BM140" s="3" t="s">
        <v>320</v>
      </c>
      <c r="BN140" s="3" t="s">
        <v>7</v>
      </c>
      <c r="BO140" s="3" t="s">
        <v>12</v>
      </c>
      <c r="BP140" s="3" t="s">
        <v>61</v>
      </c>
      <c r="BQ140" s="54">
        <v>13742222</v>
      </c>
      <c r="BR140" s="59">
        <f>COUNT($BQ$4:$BQ140) / COUNT($BQ$4:$BQ$292)</f>
        <v>0.47404844290657439</v>
      </c>
    </row>
    <row r="141" spans="64:70" x14ac:dyDescent="0.25">
      <c r="BL141" s="3">
        <v>2016</v>
      </c>
      <c r="BM141" s="3" t="s">
        <v>125</v>
      </c>
      <c r="BN141" s="3" t="s">
        <v>7</v>
      </c>
      <c r="BO141" s="3" t="s">
        <v>54</v>
      </c>
      <c r="BP141" s="3" t="s">
        <v>55</v>
      </c>
      <c r="BQ141" s="54">
        <v>13834767</v>
      </c>
      <c r="BR141" s="59">
        <f>COUNT($BQ$4:$BQ141) / COUNT($BQ$4:$BQ$292)</f>
        <v>0.47750865051903113</v>
      </c>
    </row>
    <row r="142" spans="64:70" x14ac:dyDescent="0.25">
      <c r="BL142" s="3">
        <v>2011</v>
      </c>
      <c r="BM142" s="3" t="s">
        <v>304</v>
      </c>
      <c r="BN142" s="3" t="s">
        <v>7</v>
      </c>
      <c r="BO142" s="3" t="s">
        <v>36</v>
      </c>
      <c r="BP142" s="3" t="s">
        <v>37</v>
      </c>
      <c r="BQ142" s="54">
        <v>13923243</v>
      </c>
      <c r="BR142" s="59">
        <f>COUNT($BQ$4:$BQ142) / COUNT($BQ$4:$BQ$292)</f>
        <v>0.48096885813148788</v>
      </c>
    </row>
    <row r="143" spans="64:70" x14ac:dyDescent="0.25">
      <c r="BL143" s="3">
        <v>2012</v>
      </c>
      <c r="BM143" s="3" t="s">
        <v>254</v>
      </c>
      <c r="BN143" s="3" t="s">
        <v>92</v>
      </c>
      <c r="BO143" s="3" t="s">
        <v>8</v>
      </c>
      <c r="BP143" s="3" t="s">
        <v>51</v>
      </c>
      <c r="BQ143" s="54">
        <v>13931336</v>
      </c>
      <c r="BR143" s="59">
        <f>COUNT($BQ$4:$BQ143) / COUNT($BQ$4:$BQ$292)</f>
        <v>0.48442906574394462</v>
      </c>
    </row>
    <row r="144" spans="64:70" x14ac:dyDescent="0.25">
      <c r="BL144" s="3">
        <v>2013</v>
      </c>
      <c r="BM144" s="3" t="s">
        <v>215</v>
      </c>
      <c r="BN144" s="3" t="s">
        <v>155</v>
      </c>
      <c r="BO144" s="3" t="s">
        <v>216</v>
      </c>
      <c r="BP144" s="3" t="s">
        <v>217</v>
      </c>
      <c r="BQ144" s="54">
        <v>14080370</v>
      </c>
      <c r="BR144" s="59">
        <f>COUNT($BQ$4:$BQ144) / COUNT($BQ$4:$BQ$292)</f>
        <v>0.48788927335640137</v>
      </c>
    </row>
    <row r="145" spans="64:71" x14ac:dyDescent="0.25">
      <c r="BL145" s="30">
        <v>2020</v>
      </c>
      <c r="BM145" s="30" t="s">
        <v>1303</v>
      </c>
      <c r="BN145" s="30" t="s">
        <v>7</v>
      </c>
      <c r="BO145" s="30" t="s">
        <v>36</v>
      </c>
      <c r="BP145" s="30" t="s">
        <v>81</v>
      </c>
      <c r="BQ145" s="54">
        <v>14385550</v>
      </c>
      <c r="BR145" s="59">
        <f>COUNT($BQ$4:$BQ145) / COUNT($BQ$4:$BQ$292)</f>
        <v>0.49134948096885811</v>
      </c>
    </row>
    <row r="146" spans="64:71" x14ac:dyDescent="0.25">
      <c r="BL146" s="3">
        <v>2016</v>
      </c>
      <c r="BM146" s="3" t="s">
        <v>140</v>
      </c>
      <c r="BN146" s="3" t="s">
        <v>7</v>
      </c>
      <c r="BO146" s="3" t="s">
        <v>32</v>
      </c>
      <c r="BP146" s="3" t="s">
        <v>33</v>
      </c>
      <c r="BQ146" s="54">
        <v>14514671</v>
      </c>
      <c r="BR146" s="59">
        <f>COUNT($BQ$4:$BQ146) / COUNT($BQ$4:$BQ$292)</f>
        <v>0.49480968858131485</v>
      </c>
    </row>
    <row r="147" spans="64:71" x14ac:dyDescent="0.25">
      <c r="BL147" s="3">
        <v>2012</v>
      </c>
      <c r="BM147" s="3" t="s">
        <v>271</v>
      </c>
      <c r="BN147" s="3" t="s">
        <v>7</v>
      </c>
      <c r="BO147" s="3" t="s">
        <v>40</v>
      </c>
      <c r="BP147" s="3" t="s">
        <v>160</v>
      </c>
      <c r="BQ147" s="54">
        <v>14582225</v>
      </c>
      <c r="BR147" s="59">
        <f>COUNT($BQ$4:$BQ147) / COUNT($BQ$4:$BQ$292)</f>
        <v>0.4982698961937716</v>
      </c>
    </row>
    <row r="148" spans="64:71" x14ac:dyDescent="0.25">
      <c r="BL148" s="3">
        <v>2012</v>
      </c>
      <c r="BM148" s="3" t="s">
        <v>246</v>
      </c>
      <c r="BN148" s="3" t="s">
        <v>7</v>
      </c>
      <c r="BO148" s="3" t="s">
        <v>25</v>
      </c>
      <c r="BP148" s="3" t="s">
        <v>29</v>
      </c>
      <c r="BQ148" s="54">
        <v>15173075</v>
      </c>
      <c r="BR148" s="59">
        <f>COUNT($BQ$4:$BQ148) / COUNT($BQ$4:$BQ$292)</f>
        <v>0.5017301038062284</v>
      </c>
      <c r="BS148">
        <v>6</v>
      </c>
    </row>
    <row r="149" spans="64:71" x14ac:dyDescent="0.25">
      <c r="BL149" s="3">
        <v>2017</v>
      </c>
      <c r="BM149" s="3" t="s">
        <v>97</v>
      </c>
      <c r="BN149" s="3" t="s">
        <v>7</v>
      </c>
      <c r="BO149" s="3" t="s">
        <v>36</v>
      </c>
      <c r="BP149" s="3" t="s">
        <v>98</v>
      </c>
      <c r="BQ149" s="54">
        <v>15493978</v>
      </c>
      <c r="BR149" s="59">
        <f>COUNT($BQ$4:$BQ149) / COUNT($BQ$4:$BQ$292)</f>
        <v>0.50519031141868509</v>
      </c>
    </row>
    <row r="150" spans="64:71" x14ac:dyDescent="0.25">
      <c r="BL150" s="3">
        <v>2012</v>
      </c>
      <c r="BM150" s="3" t="s">
        <v>270</v>
      </c>
      <c r="BN150" s="3" t="s">
        <v>7</v>
      </c>
      <c r="BO150" s="3" t="s">
        <v>40</v>
      </c>
      <c r="BP150" s="3" t="s">
        <v>41</v>
      </c>
      <c r="BQ150" s="54">
        <v>15630200</v>
      </c>
      <c r="BR150" s="59">
        <f>COUNT($BQ$4:$BQ150) / COUNT($BQ$4:$BQ$292)</f>
        <v>0.50865051903114189</v>
      </c>
    </row>
    <row r="151" spans="64:71" x14ac:dyDescent="0.25">
      <c r="BL151" s="3">
        <v>2012</v>
      </c>
      <c r="BM151" s="3" t="s">
        <v>269</v>
      </c>
      <c r="BN151" s="3" t="s">
        <v>7</v>
      </c>
      <c r="BO151" s="3" t="s">
        <v>40</v>
      </c>
      <c r="BP151" s="3" t="s">
        <v>41</v>
      </c>
      <c r="BQ151" s="54">
        <v>15630200</v>
      </c>
      <c r="BR151" s="59">
        <f>COUNT($BQ$4:$BQ151) / COUNT($BQ$4:$BQ$292)</f>
        <v>0.51211072664359858</v>
      </c>
    </row>
    <row r="152" spans="64:71" x14ac:dyDescent="0.25">
      <c r="BL152" s="3">
        <v>2012</v>
      </c>
      <c r="BM152" s="3" t="s">
        <v>268</v>
      </c>
      <c r="BN152" s="3" t="s">
        <v>7</v>
      </c>
      <c r="BO152" s="3" t="s">
        <v>40</v>
      </c>
      <c r="BP152" s="3" t="s">
        <v>41</v>
      </c>
      <c r="BQ152" s="54">
        <v>15630200</v>
      </c>
      <c r="BR152" s="59">
        <f>COUNT($BQ$4:$BQ152) / COUNT($BQ$4:$BQ$292)</f>
        <v>0.51557093425605538</v>
      </c>
    </row>
    <row r="153" spans="64:71" x14ac:dyDescent="0.25">
      <c r="BL153" s="3">
        <v>2012</v>
      </c>
      <c r="BM153" s="3" t="s">
        <v>267</v>
      </c>
      <c r="BN153" s="3" t="s">
        <v>7</v>
      </c>
      <c r="BO153" s="3" t="s">
        <v>40</v>
      </c>
      <c r="BP153" s="3" t="s">
        <v>41</v>
      </c>
      <c r="BQ153" s="54">
        <v>15630200</v>
      </c>
      <c r="BR153" s="59">
        <f>COUNT($BQ$4:$BQ153) / COUNT($BQ$4:$BQ$292)</f>
        <v>0.51903114186851207</v>
      </c>
    </row>
    <row r="154" spans="64:71" x14ac:dyDescent="0.25">
      <c r="BL154" s="3">
        <v>2012</v>
      </c>
      <c r="BM154" s="3" t="s">
        <v>266</v>
      </c>
      <c r="BN154" s="3" t="s">
        <v>7</v>
      </c>
      <c r="BO154" s="3" t="s">
        <v>40</v>
      </c>
      <c r="BP154" s="3" t="s">
        <v>41</v>
      </c>
      <c r="BQ154" s="54">
        <v>15630200</v>
      </c>
      <c r="BR154" s="59">
        <f>COUNT($BQ$4:$BQ154) / COUNT($BQ$4:$BQ$292)</f>
        <v>0.52249134948096887</v>
      </c>
    </row>
    <row r="155" spans="64:71" x14ac:dyDescent="0.25">
      <c r="BL155" s="3">
        <v>2012</v>
      </c>
      <c r="BM155" s="3" t="s">
        <v>265</v>
      </c>
      <c r="BN155" s="3" t="s">
        <v>7</v>
      </c>
      <c r="BO155" s="3" t="s">
        <v>40</v>
      </c>
      <c r="BP155" s="3" t="s">
        <v>41</v>
      </c>
      <c r="BQ155" s="54">
        <v>15630200</v>
      </c>
      <c r="BR155" s="59">
        <f>COUNT($BQ$4:$BQ155) / COUNT($BQ$4:$BQ$292)</f>
        <v>0.52595155709342556</v>
      </c>
    </row>
    <row r="156" spans="64:71" x14ac:dyDescent="0.25">
      <c r="BL156" s="3">
        <v>2018</v>
      </c>
      <c r="BM156" s="3" t="s">
        <v>83</v>
      </c>
      <c r="BN156" s="3" t="s">
        <v>7</v>
      </c>
      <c r="BO156" s="3" t="s">
        <v>36</v>
      </c>
      <c r="BP156" s="3" t="s">
        <v>81</v>
      </c>
      <c r="BQ156" s="54">
        <v>15696673</v>
      </c>
      <c r="BR156" s="59">
        <f>COUNT($BQ$4:$BQ156) / COUNT($BQ$4:$BQ$292)</f>
        <v>0.52941176470588236</v>
      </c>
    </row>
    <row r="157" spans="64:71" x14ac:dyDescent="0.25">
      <c r="BL157" s="3">
        <v>2016</v>
      </c>
      <c r="BM157" s="3" t="s">
        <v>133</v>
      </c>
      <c r="BN157" s="3" t="s">
        <v>7</v>
      </c>
      <c r="BO157" s="3" t="s">
        <v>36</v>
      </c>
      <c r="BP157" s="3" t="s">
        <v>37</v>
      </c>
      <c r="BQ157" s="54">
        <v>15865242</v>
      </c>
      <c r="BR157" s="59">
        <f>COUNT($BQ$4:$BQ157) / COUNT($BQ$4:$BQ$292)</f>
        <v>0.53287197231833905</v>
      </c>
    </row>
    <row r="158" spans="64:71" x14ac:dyDescent="0.25">
      <c r="BL158" s="3">
        <v>2016</v>
      </c>
      <c r="BM158" s="3" t="s">
        <v>132</v>
      </c>
      <c r="BN158" s="3" t="s">
        <v>7</v>
      </c>
      <c r="BO158" s="3" t="s">
        <v>36</v>
      </c>
      <c r="BP158" s="3" t="s">
        <v>37</v>
      </c>
      <c r="BQ158" s="54">
        <v>15865242</v>
      </c>
      <c r="BR158" s="59">
        <f>COUNT($BQ$4:$BQ158) / COUNT($BQ$4:$BQ$292)</f>
        <v>0.53633217993079585</v>
      </c>
    </row>
    <row r="159" spans="64:71" x14ac:dyDescent="0.25">
      <c r="BL159" s="3">
        <v>2009</v>
      </c>
      <c r="BM159" s="3" t="s">
        <v>363</v>
      </c>
      <c r="BN159" s="3" t="s">
        <v>7</v>
      </c>
      <c r="BO159" s="3" t="s">
        <v>8</v>
      </c>
      <c r="BP159" s="3" t="s">
        <v>264</v>
      </c>
      <c r="BQ159" s="54">
        <v>16684328</v>
      </c>
      <c r="BR159" s="59">
        <f>COUNT($BQ$4:$BQ159) / COUNT($BQ$4:$BQ$292)</f>
        <v>0.53979238754325265</v>
      </c>
    </row>
    <row r="160" spans="64:71" x14ac:dyDescent="0.25">
      <c r="BL160" s="3">
        <v>2011</v>
      </c>
      <c r="BM160" s="3" t="s">
        <v>286</v>
      </c>
      <c r="BN160" s="3" t="s">
        <v>283</v>
      </c>
      <c r="BO160" s="3" t="s">
        <v>12</v>
      </c>
      <c r="BP160" s="3" t="s">
        <v>105</v>
      </c>
      <c r="BQ160" s="54">
        <v>16822412</v>
      </c>
      <c r="BR160" s="59">
        <f>COUNT($BQ$4:$BQ160) / COUNT($BQ$4:$BQ$292)</f>
        <v>0.54325259515570934</v>
      </c>
    </row>
    <row r="161" spans="64:71" x14ac:dyDescent="0.25">
      <c r="BL161" s="3">
        <v>2010</v>
      </c>
      <c r="BM161" s="3" t="s">
        <v>343</v>
      </c>
      <c r="BN161" s="3" t="s">
        <v>7</v>
      </c>
      <c r="BO161" s="3" t="s">
        <v>233</v>
      </c>
      <c r="BP161" s="3" t="s">
        <v>344</v>
      </c>
      <c r="BQ161" s="54">
        <v>17401365</v>
      </c>
      <c r="BR161" s="59">
        <f>COUNT($BQ$4:$BQ161) / COUNT($BQ$4:$BQ$292)</f>
        <v>0.54671280276816614</v>
      </c>
    </row>
    <row r="162" spans="64:71" x14ac:dyDescent="0.25">
      <c r="BL162" s="3">
        <v>2017</v>
      </c>
      <c r="BM162" s="3" t="s">
        <v>90</v>
      </c>
      <c r="BN162" s="3" t="s">
        <v>67</v>
      </c>
      <c r="BO162" s="3" t="s">
        <v>32</v>
      </c>
      <c r="BP162" s="3" t="s">
        <v>33</v>
      </c>
      <c r="BQ162" s="54">
        <v>17437203</v>
      </c>
      <c r="BR162" s="59">
        <f>COUNT($BQ$4:$BQ162) / COUNT($BQ$4:$BQ$292)</f>
        <v>0.55017301038062283</v>
      </c>
    </row>
    <row r="163" spans="64:71" x14ac:dyDescent="0.25">
      <c r="BL163" s="3">
        <v>2017</v>
      </c>
      <c r="BM163" s="3" t="s">
        <v>119</v>
      </c>
      <c r="BN163" s="3" t="s">
        <v>7</v>
      </c>
      <c r="BO163" s="3" t="s">
        <v>20</v>
      </c>
      <c r="BP163" s="3" t="s">
        <v>120</v>
      </c>
      <c r="BQ163" s="54">
        <v>17714973</v>
      </c>
      <c r="BR163" s="59">
        <f>COUNT($BQ$4:$BQ163) / COUNT($BQ$4:$BQ$292)</f>
        <v>0.55363321799307963</v>
      </c>
    </row>
    <row r="164" spans="64:71" x14ac:dyDescent="0.25">
      <c r="BL164" s="3">
        <v>2017</v>
      </c>
      <c r="BM164" s="3" t="s">
        <v>106</v>
      </c>
      <c r="BN164" s="3" t="s">
        <v>7</v>
      </c>
      <c r="BO164" s="3" t="s">
        <v>107</v>
      </c>
      <c r="BP164" s="3" t="s">
        <v>108</v>
      </c>
      <c r="BQ164" s="54">
        <v>17745847</v>
      </c>
      <c r="BR164" s="59">
        <f>COUNT($BQ$4:$BQ164) / COUNT($BQ$4:$BQ$292)</f>
        <v>0.55709342560553632</v>
      </c>
    </row>
    <row r="165" spans="64:71" x14ac:dyDescent="0.25">
      <c r="BL165" s="3">
        <v>2009</v>
      </c>
      <c r="BM165" s="3" t="s">
        <v>369</v>
      </c>
      <c r="BN165" s="3" t="s">
        <v>155</v>
      </c>
      <c r="BO165" s="3" t="s">
        <v>159</v>
      </c>
      <c r="BP165" s="3" t="s">
        <v>370</v>
      </c>
      <c r="BQ165" s="54">
        <v>17792197</v>
      </c>
      <c r="BR165" s="59">
        <f>COUNT($BQ$4:$BQ165) / COUNT($BQ$4:$BQ$292)</f>
        <v>0.56055363321799312</v>
      </c>
    </row>
    <row r="166" spans="64:71" x14ac:dyDescent="0.25">
      <c r="BL166" s="3">
        <v>2017</v>
      </c>
      <c r="BM166" s="3" t="s">
        <v>86</v>
      </c>
      <c r="BN166" s="3" t="s">
        <v>7</v>
      </c>
      <c r="BO166" s="3" t="s">
        <v>87</v>
      </c>
      <c r="BP166" s="3" t="s">
        <v>88</v>
      </c>
      <c r="BQ166" s="54">
        <v>18058128</v>
      </c>
      <c r="BR166" s="59">
        <f>COUNT($BQ$4:$BQ166) / COUNT($BQ$4:$BQ$292)</f>
        <v>0.56401384083044981</v>
      </c>
    </row>
    <row r="167" spans="64:71" x14ac:dyDescent="0.25">
      <c r="BL167" s="3">
        <v>2014</v>
      </c>
      <c r="BM167" s="3" t="s">
        <v>190</v>
      </c>
      <c r="BN167" s="3" t="s">
        <v>7</v>
      </c>
      <c r="BO167" s="3" t="s">
        <v>25</v>
      </c>
      <c r="BP167" s="3" t="s">
        <v>181</v>
      </c>
      <c r="BQ167" s="54">
        <v>18227134</v>
      </c>
      <c r="BR167" s="59">
        <f>COUNT($BQ$4:$BQ167) / COUNT($BQ$4:$BQ$292)</f>
        <v>0.56747404844290661</v>
      </c>
    </row>
    <row r="168" spans="64:71" x14ac:dyDescent="0.25">
      <c r="BL168" s="3">
        <v>2013</v>
      </c>
      <c r="BM168" s="3" t="s">
        <v>230</v>
      </c>
      <c r="BN168" s="3" t="s">
        <v>7</v>
      </c>
      <c r="BO168" s="3" t="s">
        <v>48</v>
      </c>
      <c r="BP168" s="3" t="s">
        <v>88</v>
      </c>
      <c r="BQ168" s="54">
        <v>18631806</v>
      </c>
      <c r="BR168" s="59">
        <f>COUNT($BQ$4:$BQ168) / COUNT($BQ$4:$BQ$292)</f>
        <v>0.5709342560553633</v>
      </c>
    </row>
    <row r="169" spans="64:71" x14ac:dyDescent="0.25">
      <c r="BL169" s="3">
        <v>2009</v>
      </c>
      <c r="BM169" s="3" t="s">
        <v>364</v>
      </c>
      <c r="BN169" s="3" t="s">
        <v>7</v>
      </c>
      <c r="BO169" s="3" t="s">
        <v>8</v>
      </c>
      <c r="BP169" s="3" t="s">
        <v>51</v>
      </c>
      <c r="BQ169" s="54">
        <v>18846566</v>
      </c>
      <c r="BR169" s="59">
        <f>COUNT($BQ$4:$BQ169) / COUNT($BQ$4:$BQ$292)</f>
        <v>0.5743944636678201</v>
      </c>
    </row>
    <row r="170" spans="64:71" x14ac:dyDescent="0.25">
      <c r="BL170" s="3">
        <v>2011</v>
      </c>
      <c r="BM170" s="3" t="s">
        <v>287</v>
      </c>
      <c r="BN170" s="3" t="s">
        <v>92</v>
      </c>
      <c r="BO170" s="3" t="s">
        <v>8</v>
      </c>
      <c r="BP170" s="3" t="s">
        <v>214</v>
      </c>
      <c r="BQ170" s="54">
        <v>19233950</v>
      </c>
      <c r="BR170" s="59">
        <f>COUNT($BQ$4:$BQ170) / COUNT($BQ$4:$BQ$292)</f>
        <v>0.57785467128027679</v>
      </c>
    </row>
    <row r="171" spans="64:71" x14ac:dyDescent="0.25">
      <c r="BL171" s="30">
        <v>2020</v>
      </c>
      <c r="BM171" s="30" t="s">
        <v>390</v>
      </c>
      <c r="BN171" s="30" t="s">
        <v>7</v>
      </c>
      <c r="BO171" s="30" t="s">
        <v>17</v>
      </c>
      <c r="BP171" s="30" t="s">
        <v>18</v>
      </c>
      <c r="BQ171" s="54">
        <v>19333388</v>
      </c>
      <c r="BR171" s="59">
        <f>COUNT($BQ$4:$BQ171) / COUNT($BQ$4:$BQ$292)</f>
        <v>0.58131487889273359</v>
      </c>
    </row>
    <row r="172" spans="64:71" x14ac:dyDescent="0.25">
      <c r="BL172" s="3">
        <v>2016</v>
      </c>
      <c r="BM172" s="3" t="s">
        <v>135</v>
      </c>
      <c r="BN172" s="3" t="s">
        <v>7</v>
      </c>
      <c r="BO172" s="3" t="s">
        <v>32</v>
      </c>
      <c r="BP172" s="3" t="s">
        <v>33</v>
      </c>
      <c r="BQ172" s="54">
        <v>19511477</v>
      </c>
      <c r="BR172" s="59">
        <f>COUNT($BQ$4:$BQ172) / COUNT($BQ$4:$BQ$292)</f>
        <v>0.58477508650519028</v>
      </c>
    </row>
    <row r="173" spans="64:71" x14ac:dyDescent="0.25">
      <c r="BL173" s="3">
        <v>2019</v>
      </c>
      <c r="BM173" s="3" t="s">
        <v>28</v>
      </c>
      <c r="BN173" s="3" t="s">
        <v>7</v>
      </c>
      <c r="BO173" s="3" t="s">
        <v>25</v>
      </c>
      <c r="BP173" s="3" t="s">
        <v>29</v>
      </c>
      <c r="BQ173" s="54">
        <v>19672401</v>
      </c>
      <c r="BR173" s="59">
        <f>COUNT($BQ$4:$BQ173) / COUNT($BQ$4:$BQ$292)</f>
        <v>0.58823529411764708</v>
      </c>
    </row>
    <row r="174" spans="64:71" x14ac:dyDescent="0.25">
      <c r="BL174" s="3">
        <v>2018</v>
      </c>
      <c r="BM174" s="3" t="s">
        <v>77</v>
      </c>
      <c r="BN174" s="3" t="s">
        <v>7</v>
      </c>
      <c r="BO174" s="3" t="s">
        <v>25</v>
      </c>
      <c r="BP174" s="3" t="s">
        <v>26</v>
      </c>
      <c r="BQ174" s="54">
        <v>19938626</v>
      </c>
      <c r="BR174" s="59">
        <f>COUNT($BQ$4:$BQ174) / COUNT($BQ$4:$BQ$292)</f>
        <v>0.59169550173010377</v>
      </c>
    </row>
    <row r="175" spans="64:71" x14ac:dyDescent="0.25">
      <c r="BL175" s="3">
        <v>2012</v>
      </c>
      <c r="BM175" s="3" t="s">
        <v>260</v>
      </c>
      <c r="BN175" s="3" t="s">
        <v>92</v>
      </c>
      <c r="BO175" s="3" t="s">
        <v>8</v>
      </c>
      <c r="BP175" s="3" t="s">
        <v>51</v>
      </c>
      <c r="BQ175" s="54">
        <v>20161864</v>
      </c>
      <c r="BR175" s="59">
        <f>COUNT($BQ$4:$BQ175) / COUNT($BQ$4:$BQ$292)</f>
        <v>0.59515570934256057</v>
      </c>
      <c r="BS175">
        <v>7</v>
      </c>
    </row>
    <row r="176" spans="64:71" x14ac:dyDescent="0.25">
      <c r="BL176" s="3">
        <v>2017</v>
      </c>
      <c r="BM176" s="3" t="s">
        <v>91</v>
      </c>
      <c r="BN176" s="3" t="s">
        <v>92</v>
      </c>
      <c r="BO176" s="3" t="s">
        <v>36</v>
      </c>
      <c r="BP176" s="3" t="s">
        <v>37</v>
      </c>
      <c r="BQ176" s="54">
        <v>20505579</v>
      </c>
      <c r="BR176" s="59">
        <f>COUNT($BQ$4:$BQ176) / COUNT($BQ$4:$BQ$292)</f>
        <v>0.59861591695501726</v>
      </c>
    </row>
    <row r="177" spans="64:70" x14ac:dyDescent="0.25">
      <c r="BL177" s="3">
        <v>2017</v>
      </c>
      <c r="BM177" s="3" t="s">
        <v>104</v>
      </c>
      <c r="BN177" s="3" t="s">
        <v>7</v>
      </c>
      <c r="BO177" s="3" t="s">
        <v>12</v>
      </c>
      <c r="BP177" s="3" t="s">
        <v>105</v>
      </c>
      <c r="BQ177" s="54">
        <v>20742216</v>
      </c>
      <c r="BR177" s="59">
        <f>COUNT($BQ$4:$BQ177) / COUNT($BQ$4:$BQ$292)</f>
        <v>0.60207612456747406</v>
      </c>
    </row>
    <row r="178" spans="64:70" x14ac:dyDescent="0.25">
      <c r="BL178" s="3">
        <v>2015</v>
      </c>
      <c r="BM178" s="3" t="s">
        <v>170</v>
      </c>
      <c r="BN178" s="3" t="s">
        <v>7</v>
      </c>
      <c r="BO178" s="3" t="s">
        <v>36</v>
      </c>
      <c r="BP178" s="3" t="s">
        <v>37</v>
      </c>
      <c r="BQ178" s="54">
        <v>21172142</v>
      </c>
      <c r="BR178" s="59">
        <f>COUNT($BQ$4:$BQ178) / COUNT($BQ$4:$BQ$292)</f>
        <v>0.60553633217993075</v>
      </c>
    </row>
    <row r="179" spans="64:70" x14ac:dyDescent="0.25">
      <c r="BL179" s="3">
        <v>2010</v>
      </c>
      <c r="BM179" s="3" t="s">
        <v>342</v>
      </c>
      <c r="BN179" s="3" t="s">
        <v>7</v>
      </c>
      <c r="BO179" s="3" t="s">
        <v>290</v>
      </c>
      <c r="BP179" s="3" t="s">
        <v>291</v>
      </c>
      <c r="BQ179" s="54">
        <v>22980207</v>
      </c>
      <c r="BR179" s="59">
        <f>COUNT($BQ$4:$BQ179) / COUNT($BQ$4:$BQ$292)</f>
        <v>0.60899653979238755</v>
      </c>
    </row>
    <row r="180" spans="64:70" x14ac:dyDescent="0.25">
      <c r="BL180" s="3">
        <v>2011</v>
      </c>
      <c r="BM180" s="3" t="s">
        <v>299</v>
      </c>
      <c r="BN180" s="3" t="s">
        <v>7</v>
      </c>
      <c r="BO180" s="3" t="s">
        <v>12</v>
      </c>
      <c r="BP180" s="3" t="s">
        <v>13</v>
      </c>
      <c r="BQ180" s="54">
        <v>23540514</v>
      </c>
      <c r="BR180" s="59">
        <f>COUNT($BQ$4:$BQ180) / COUNT($BQ$4:$BQ$292)</f>
        <v>0.61245674740484424</v>
      </c>
    </row>
    <row r="181" spans="64:70" x14ac:dyDescent="0.25">
      <c r="BL181" s="3">
        <v>2015</v>
      </c>
      <c r="BM181" s="3" t="s">
        <v>180</v>
      </c>
      <c r="BN181" s="3" t="s">
        <v>7</v>
      </c>
      <c r="BO181" s="3" t="s">
        <v>25</v>
      </c>
      <c r="BP181" s="3" t="s">
        <v>181</v>
      </c>
      <c r="BQ181" s="54">
        <v>23599049</v>
      </c>
      <c r="BR181" s="59">
        <f>COUNT($BQ$4:$BQ181) / COUNT($BQ$4:$BQ$292)</f>
        <v>0.61591695501730104</v>
      </c>
    </row>
    <row r="182" spans="64:70" x14ac:dyDescent="0.25">
      <c r="BL182" s="3">
        <v>2011</v>
      </c>
      <c r="BM182" s="3" t="s">
        <v>305</v>
      </c>
      <c r="BN182" s="3" t="s">
        <v>7</v>
      </c>
      <c r="BO182" s="3" t="s">
        <v>36</v>
      </c>
      <c r="BP182" s="3" t="s">
        <v>37</v>
      </c>
      <c r="BQ182" s="54">
        <v>23638696</v>
      </c>
      <c r="BR182" s="59">
        <f>COUNT($BQ$4:$BQ182) / COUNT($BQ$4:$BQ$292)</f>
        <v>0.61937716262975784</v>
      </c>
    </row>
    <row r="183" spans="64:70" x14ac:dyDescent="0.25">
      <c r="BL183" s="3">
        <v>2019</v>
      </c>
      <c r="BM183" s="3" t="s">
        <v>31</v>
      </c>
      <c r="BN183" s="3" t="s">
        <v>7</v>
      </c>
      <c r="BO183" s="3" t="s">
        <v>32</v>
      </c>
      <c r="BP183" s="3" t="s">
        <v>33</v>
      </c>
      <c r="BQ183" s="54">
        <v>23789157</v>
      </c>
      <c r="BR183" s="59">
        <f>COUNT($BQ$4:$BQ183) / COUNT($BQ$4:$BQ$292)</f>
        <v>0.62283737024221453</v>
      </c>
    </row>
    <row r="184" spans="64:70" x14ac:dyDescent="0.25">
      <c r="BL184" s="3">
        <v>2012</v>
      </c>
      <c r="BM184" s="3" t="s">
        <v>256</v>
      </c>
      <c r="BN184" s="3" t="s">
        <v>92</v>
      </c>
      <c r="BO184" s="3" t="s">
        <v>8</v>
      </c>
      <c r="BP184" s="3" t="s">
        <v>51</v>
      </c>
      <c r="BQ184" s="54">
        <v>23873740</v>
      </c>
      <c r="BR184" s="59">
        <f>COUNT($BQ$4:$BQ184) / COUNT($BQ$4:$BQ$292)</f>
        <v>0.62629757785467133</v>
      </c>
    </row>
    <row r="185" spans="64:70" x14ac:dyDescent="0.25">
      <c r="BL185" s="3">
        <v>2014</v>
      </c>
      <c r="BM185" s="3" t="s">
        <v>210</v>
      </c>
      <c r="BN185" s="3" t="s">
        <v>7</v>
      </c>
      <c r="BO185" s="3" t="s">
        <v>48</v>
      </c>
      <c r="BP185" s="3" t="s">
        <v>88</v>
      </c>
      <c r="BQ185" s="54">
        <v>24277029</v>
      </c>
      <c r="BR185" s="59">
        <f>COUNT($BQ$4:$BQ185) / COUNT($BQ$4:$BQ$292)</f>
        <v>0.62975778546712802</v>
      </c>
    </row>
    <row r="186" spans="64:70" x14ac:dyDescent="0.25">
      <c r="BL186" s="3">
        <v>2012</v>
      </c>
      <c r="BM186" s="3" t="s">
        <v>252</v>
      </c>
      <c r="BN186" s="3" t="s">
        <v>92</v>
      </c>
      <c r="BO186" s="3" t="s">
        <v>8</v>
      </c>
      <c r="BP186" s="3" t="s">
        <v>51</v>
      </c>
      <c r="BQ186" s="54">
        <v>24895833</v>
      </c>
      <c r="BR186" s="59">
        <f>COUNT($BQ$4:$BQ186) / COUNT($BQ$4:$BQ$292)</f>
        <v>0.63321799307958482</v>
      </c>
    </row>
    <row r="187" spans="64:70" x14ac:dyDescent="0.25">
      <c r="BL187" s="3">
        <v>2017</v>
      </c>
      <c r="BM187" s="3" t="s">
        <v>121</v>
      </c>
      <c r="BN187" s="3" t="s">
        <v>7</v>
      </c>
      <c r="BO187" s="3" t="s">
        <v>64</v>
      </c>
      <c r="BP187" s="3" t="s">
        <v>65</v>
      </c>
      <c r="BQ187" s="54">
        <v>25658251</v>
      </c>
      <c r="BR187" s="59">
        <f>COUNT($BQ$4:$BQ187) / COUNT($BQ$4:$BQ$292)</f>
        <v>0.63667820069204151</v>
      </c>
    </row>
    <row r="188" spans="64:70" x14ac:dyDescent="0.25">
      <c r="BL188" s="3">
        <v>2010</v>
      </c>
      <c r="BM188" s="3" t="s">
        <v>340</v>
      </c>
      <c r="BN188" s="3" t="s">
        <v>7</v>
      </c>
      <c r="BO188" s="3" t="s">
        <v>290</v>
      </c>
      <c r="BP188" s="3" t="s">
        <v>21</v>
      </c>
      <c r="BQ188" s="54">
        <v>25830062</v>
      </c>
      <c r="BR188" s="59">
        <f>COUNT($BQ$4:$BQ188) / COUNT($BQ$4:$BQ$292)</f>
        <v>0.64013840830449831</v>
      </c>
    </row>
    <row r="189" spans="64:70" x14ac:dyDescent="0.25">
      <c r="BL189" s="3">
        <v>2015</v>
      </c>
      <c r="BM189" s="3" t="s">
        <v>173</v>
      </c>
      <c r="BN189" s="3" t="s">
        <v>7</v>
      </c>
      <c r="BO189" s="3" t="s">
        <v>36</v>
      </c>
      <c r="BP189" s="3" t="s">
        <v>37</v>
      </c>
      <c r="BQ189" s="54">
        <v>26305943</v>
      </c>
      <c r="BR189" s="59">
        <f>COUNT($BQ$4:$BQ189) / COUNT($BQ$4:$BQ$292)</f>
        <v>0.643598615916955</v>
      </c>
    </row>
    <row r="190" spans="64:70" x14ac:dyDescent="0.25">
      <c r="BL190" s="3">
        <v>2015</v>
      </c>
      <c r="BM190" s="3" t="s">
        <v>161</v>
      </c>
      <c r="BN190" s="3" t="s">
        <v>67</v>
      </c>
      <c r="BO190" s="3" t="s">
        <v>40</v>
      </c>
      <c r="BP190" s="3" t="s">
        <v>162</v>
      </c>
      <c r="BQ190" s="54">
        <v>26694665</v>
      </c>
      <c r="BR190" s="59">
        <f>COUNT($BQ$4:$BQ190) / COUNT($BQ$4:$BQ$292)</f>
        <v>0.6470588235294118</v>
      </c>
    </row>
    <row r="191" spans="64:70" x14ac:dyDescent="0.25">
      <c r="BL191" s="3">
        <v>2017</v>
      </c>
      <c r="BM191" s="3" t="s">
        <v>114</v>
      </c>
      <c r="BN191" s="3" t="s">
        <v>7</v>
      </c>
      <c r="BO191" s="3" t="s">
        <v>54</v>
      </c>
      <c r="BP191" s="3" t="s">
        <v>55</v>
      </c>
      <c r="BQ191" s="54">
        <v>27168016</v>
      </c>
      <c r="BR191" s="59">
        <f>COUNT($BQ$4:$BQ191) / COUNT($BQ$4:$BQ$292)</f>
        <v>0.65051903114186849</v>
      </c>
    </row>
    <row r="192" spans="64:70" x14ac:dyDescent="0.25">
      <c r="BL192" s="3">
        <v>2011</v>
      </c>
      <c r="BM192" s="3" t="s">
        <v>289</v>
      </c>
      <c r="BN192" s="3" t="s">
        <v>7</v>
      </c>
      <c r="BO192" s="3" t="s">
        <v>290</v>
      </c>
      <c r="BP192" s="3" t="s">
        <v>291</v>
      </c>
      <c r="BQ192" s="54">
        <v>27205207</v>
      </c>
      <c r="BR192" s="59">
        <f>COUNT($BQ$4:$BQ192) / COUNT($BQ$4:$BQ$292)</f>
        <v>0.65397923875432529</v>
      </c>
    </row>
    <row r="193" spans="64:71" x14ac:dyDescent="0.25">
      <c r="BL193" s="3">
        <v>2009</v>
      </c>
      <c r="BM193" s="3" t="s">
        <v>352</v>
      </c>
      <c r="BN193" s="3" t="s">
        <v>7</v>
      </c>
      <c r="BO193" s="3" t="s">
        <v>12</v>
      </c>
      <c r="BP193" s="3" t="s">
        <v>58</v>
      </c>
      <c r="BQ193" s="54">
        <v>27287736</v>
      </c>
      <c r="BR193" s="59">
        <f>COUNT($BQ$4:$BQ193) / COUNT($BQ$4:$BQ$292)</f>
        <v>0.65743944636678198</v>
      </c>
    </row>
    <row r="194" spans="64:71" x14ac:dyDescent="0.25">
      <c r="BL194" s="3">
        <v>2011</v>
      </c>
      <c r="BM194" s="3" t="s">
        <v>285</v>
      </c>
      <c r="BN194" s="3" t="s">
        <v>283</v>
      </c>
      <c r="BO194" s="3" t="s">
        <v>36</v>
      </c>
      <c r="BP194" s="3" t="s">
        <v>37</v>
      </c>
      <c r="BQ194" s="54">
        <v>28316649</v>
      </c>
      <c r="BR194" s="59">
        <f>COUNT($BQ$4:$BQ194) / COUNT($BQ$4:$BQ$292)</f>
        <v>0.66089965397923878</v>
      </c>
    </row>
    <row r="195" spans="64:71" x14ac:dyDescent="0.25">
      <c r="BL195" s="3">
        <v>2015</v>
      </c>
      <c r="BM195" s="3" t="s">
        <v>183</v>
      </c>
      <c r="BN195" s="3" t="s">
        <v>7</v>
      </c>
      <c r="BO195" s="3" t="s">
        <v>45</v>
      </c>
      <c r="BP195" s="3" t="s">
        <v>184</v>
      </c>
      <c r="BQ195" s="54">
        <v>28404849</v>
      </c>
      <c r="BR195" s="59">
        <f>COUNT($BQ$4:$BQ195) / COUNT($BQ$4:$BQ$292)</f>
        <v>0.66435986159169547</v>
      </c>
    </row>
    <row r="196" spans="64:71" x14ac:dyDescent="0.25">
      <c r="BL196" s="3">
        <v>2009</v>
      </c>
      <c r="BM196" s="3" t="s">
        <v>378</v>
      </c>
      <c r="BN196" s="3" t="s">
        <v>283</v>
      </c>
      <c r="BO196" s="3" t="s">
        <v>64</v>
      </c>
      <c r="BP196" s="3" t="s">
        <v>65</v>
      </c>
      <c r="BQ196" s="54">
        <v>28463338</v>
      </c>
      <c r="BR196" s="59">
        <f>COUNT($BQ$4:$BQ196) / COUNT($BQ$4:$BQ$292)</f>
        <v>0.66782006920415227</v>
      </c>
    </row>
    <row r="197" spans="64:71" x14ac:dyDescent="0.25">
      <c r="BL197" s="3">
        <v>2012</v>
      </c>
      <c r="BM197" s="3" t="s">
        <v>245</v>
      </c>
      <c r="BN197" s="3" t="s">
        <v>7</v>
      </c>
      <c r="BO197" s="3" t="s">
        <v>12</v>
      </c>
      <c r="BP197" s="3" t="s">
        <v>13</v>
      </c>
      <c r="BQ197" s="54">
        <v>29301935</v>
      </c>
      <c r="BR197" s="59">
        <f>COUNT($BQ$4:$BQ197) / COUNT($BQ$4:$BQ$292)</f>
        <v>0.67128027681660896</v>
      </c>
    </row>
    <row r="198" spans="64:71" x14ac:dyDescent="0.25">
      <c r="BL198" s="3">
        <v>2017</v>
      </c>
      <c r="BM198" s="3" t="s">
        <v>100</v>
      </c>
      <c r="BN198" s="3" t="s">
        <v>7</v>
      </c>
      <c r="BO198" s="3" t="s">
        <v>87</v>
      </c>
      <c r="BP198" s="3" t="s">
        <v>88</v>
      </c>
      <c r="BQ198" s="54">
        <v>29947868</v>
      </c>
      <c r="BR198" s="59">
        <f>COUNT($BQ$4:$BQ198) / COUNT($BQ$4:$BQ$292)</f>
        <v>0.67474048442906576</v>
      </c>
    </row>
    <row r="199" spans="64:71" x14ac:dyDescent="0.25">
      <c r="BL199" s="3">
        <v>2016</v>
      </c>
      <c r="BM199" s="3" t="s">
        <v>131</v>
      </c>
      <c r="BN199" s="3" t="s">
        <v>7</v>
      </c>
      <c r="BO199" s="3" t="s">
        <v>36</v>
      </c>
      <c r="BP199" s="3" t="s">
        <v>94</v>
      </c>
      <c r="BQ199" s="54">
        <v>29951178</v>
      </c>
      <c r="BR199" s="59">
        <f>COUNT($BQ$4:$BQ199) / COUNT($BQ$4:$BQ$292)</f>
        <v>0.67820069204152245</v>
      </c>
    </row>
    <row r="200" spans="64:71" x14ac:dyDescent="0.25">
      <c r="BL200" s="30">
        <v>2020</v>
      </c>
      <c r="BM200" s="30" t="s">
        <v>1308</v>
      </c>
      <c r="BN200" s="30" t="s">
        <v>67</v>
      </c>
      <c r="BO200" s="30" t="s">
        <v>54</v>
      </c>
      <c r="BP200" s="30" t="s">
        <v>236</v>
      </c>
      <c r="BQ200" s="54">
        <v>30979632</v>
      </c>
      <c r="BR200" s="59">
        <f>COUNT($BQ$4:$BQ200) / COUNT($BQ$4:$BQ$292)</f>
        <v>0.68166089965397925</v>
      </c>
      <c r="BS200">
        <v>8</v>
      </c>
    </row>
    <row r="201" spans="64:71" x14ac:dyDescent="0.25">
      <c r="BL201" s="3">
        <v>2011</v>
      </c>
      <c r="BM201" s="3" t="s">
        <v>292</v>
      </c>
      <c r="BN201" s="3" t="s">
        <v>92</v>
      </c>
      <c r="BO201" s="3" t="s">
        <v>36</v>
      </c>
      <c r="BP201" s="3" t="s">
        <v>81</v>
      </c>
      <c r="BQ201" s="54">
        <v>32144362</v>
      </c>
      <c r="BR201" s="59">
        <f>COUNT($BQ$4:$BQ201) / COUNT($BQ$4:$BQ$292)</f>
        <v>0.68512110726643594</v>
      </c>
    </row>
    <row r="202" spans="64:71" x14ac:dyDescent="0.25">
      <c r="BL202" s="3">
        <v>2009</v>
      </c>
      <c r="BM202" s="3" t="s">
        <v>354</v>
      </c>
      <c r="BN202" s="3" t="s">
        <v>92</v>
      </c>
      <c r="BO202" s="3" t="s">
        <v>25</v>
      </c>
      <c r="BP202" s="3" t="s">
        <v>26</v>
      </c>
      <c r="BQ202" s="54">
        <v>32146074</v>
      </c>
      <c r="BR202" s="59">
        <f>COUNT($BQ$4:$BQ202) / COUNT($BQ$4:$BQ$292)</f>
        <v>0.68858131487889274</v>
      </c>
    </row>
    <row r="203" spans="64:71" x14ac:dyDescent="0.25">
      <c r="BL203" s="3">
        <v>2009</v>
      </c>
      <c r="BM203" s="3" t="s">
        <v>355</v>
      </c>
      <c r="BN203" s="3" t="s">
        <v>92</v>
      </c>
      <c r="BO203" s="3" t="s">
        <v>25</v>
      </c>
      <c r="BP203" s="3" t="s">
        <v>26</v>
      </c>
      <c r="BQ203" s="54">
        <v>32146074</v>
      </c>
      <c r="BR203" s="59">
        <f>COUNT($BQ$4:$BQ203) / COUNT($BQ$4:$BQ$292)</f>
        <v>0.69204152249134943</v>
      </c>
    </row>
    <row r="204" spans="64:71" x14ac:dyDescent="0.25">
      <c r="BL204" s="3">
        <v>2009</v>
      </c>
      <c r="BM204" s="3" t="s">
        <v>373</v>
      </c>
      <c r="BN204" s="3" t="s">
        <v>92</v>
      </c>
      <c r="BO204" s="3" t="s">
        <v>25</v>
      </c>
      <c r="BP204" s="3" t="s">
        <v>26</v>
      </c>
      <c r="BQ204" s="54">
        <v>32146074</v>
      </c>
      <c r="BR204" s="59">
        <f>COUNT($BQ$4:$BQ204) / COUNT($BQ$4:$BQ$292)</f>
        <v>0.69550173010380623</v>
      </c>
    </row>
    <row r="205" spans="64:71" x14ac:dyDescent="0.25">
      <c r="BL205" s="3">
        <v>2009</v>
      </c>
      <c r="BM205" s="3" t="s">
        <v>374</v>
      </c>
      <c r="BN205" s="3" t="s">
        <v>92</v>
      </c>
      <c r="BO205" s="3" t="s">
        <v>25</v>
      </c>
      <c r="BP205" s="3" t="s">
        <v>26</v>
      </c>
      <c r="BQ205" s="54">
        <v>32146074</v>
      </c>
      <c r="BR205" s="59">
        <f>COUNT($BQ$4:$BQ205) / COUNT($BQ$4:$BQ$292)</f>
        <v>0.69896193771626303</v>
      </c>
    </row>
    <row r="206" spans="64:71" x14ac:dyDescent="0.25">
      <c r="BL206" s="3">
        <v>2009</v>
      </c>
      <c r="BM206" s="3" t="s">
        <v>356</v>
      </c>
      <c r="BN206" s="3" t="s">
        <v>92</v>
      </c>
      <c r="BO206" s="3" t="s">
        <v>25</v>
      </c>
      <c r="BP206" s="3" t="s">
        <v>26</v>
      </c>
      <c r="BQ206" s="54">
        <v>32146074</v>
      </c>
      <c r="BR206" s="59">
        <f>COUNT($BQ$4:$BQ206) / COUNT($BQ$4:$BQ$292)</f>
        <v>0.70242214532871972</v>
      </c>
    </row>
    <row r="207" spans="64:71" x14ac:dyDescent="0.25">
      <c r="BL207" s="3">
        <v>2009</v>
      </c>
      <c r="BM207" s="3" t="s">
        <v>375</v>
      </c>
      <c r="BN207" s="3" t="s">
        <v>92</v>
      </c>
      <c r="BO207" s="3" t="s">
        <v>25</v>
      </c>
      <c r="BP207" s="3" t="s">
        <v>26</v>
      </c>
      <c r="BQ207" s="54">
        <v>32146074</v>
      </c>
      <c r="BR207" s="59">
        <f>COUNT($BQ$4:$BQ207) / COUNT($BQ$4:$BQ$292)</f>
        <v>0.70588235294117652</v>
      </c>
    </row>
    <row r="208" spans="64:71" x14ac:dyDescent="0.25">
      <c r="BL208" s="3">
        <v>2011</v>
      </c>
      <c r="BM208" s="3" t="s">
        <v>294</v>
      </c>
      <c r="BN208" s="3" t="s">
        <v>92</v>
      </c>
      <c r="BO208" s="3" t="s">
        <v>36</v>
      </c>
      <c r="BP208" s="3" t="s">
        <v>81</v>
      </c>
      <c r="BQ208" s="54">
        <v>32175479</v>
      </c>
      <c r="BR208" s="59">
        <f>COUNT($BQ$4:$BQ208) / COUNT($BQ$4:$BQ$292)</f>
        <v>0.70934256055363321</v>
      </c>
    </row>
    <row r="209" spans="64:70" x14ac:dyDescent="0.25">
      <c r="BL209" s="3">
        <v>2012</v>
      </c>
      <c r="BM209" s="3" t="s">
        <v>244</v>
      </c>
      <c r="BN209" s="3" t="s">
        <v>92</v>
      </c>
      <c r="BO209" s="3" t="s">
        <v>8</v>
      </c>
      <c r="BP209" s="3" t="s">
        <v>51</v>
      </c>
      <c r="BQ209" s="54">
        <v>32954820</v>
      </c>
      <c r="BR209" s="59">
        <f>COUNT($BQ$4:$BQ209) / COUNT($BQ$4:$BQ$292)</f>
        <v>0.71280276816609001</v>
      </c>
    </row>
    <row r="210" spans="64:70" x14ac:dyDescent="0.25">
      <c r="BL210" s="3">
        <v>2016</v>
      </c>
      <c r="BM210" s="3" t="s">
        <v>124</v>
      </c>
      <c r="BN210" s="3" t="s">
        <v>7</v>
      </c>
      <c r="BO210" s="3" t="s">
        <v>40</v>
      </c>
      <c r="BP210" s="3" t="s">
        <v>43</v>
      </c>
      <c r="BQ210" s="54">
        <v>33579996</v>
      </c>
      <c r="BR210" s="59">
        <f>COUNT($BQ$4:$BQ210) / COUNT($BQ$4:$BQ$292)</f>
        <v>0.7162629757785467</v>
      </c>
    </row>
    <row r="211" spans="64:70" x14ac:dyDescent="0.25">
      <c r="BL211" s="3">
        <v>2016</v>
      </c>
      <c r="BM211" s="3" t="s">
        <v>147</v>
      </c>
      <c r="BN211" s="3" t="s">
        <v>7</v>
      </c>
      <c r="BO211" s="3" t="s">
        <v>40</v>
      </c>
      <c r="BP211" s="3" t="s">
        <v>43</v>
      </c>
      <c r="BQ211" s="54">
        <v>33579996</v>
      </c>
      <c r="BR211" s="59">
        <f>COUNT($BQ$4:$BQ211) / COUNT($BQ$4:$BQ$292)</f>
        <v>0.7197231833910035</v>
      </c>
    </row>
    <row r="212" spans="64:70" x14ac:dyDescent="0.25">
      <c r="BL212" s="3">
        <v>2016</v>
      </c>
      <c r="BM212" s="3" t="s">
        <v>123</v>
      </c>
      <c r="BN212" s="3" t="s">
        <v>7</v>
      </c>
      <c r="BO212" s="3" t="s">
        <v>40</v>
      </c>
      <c r="BP212" s="3" t="s">
        <v>43</v>
      </c>
      <c r="BQ212" s="54">
        <v>33579996</v>
      </c>
      <c r="BR212" s="59">
        <f>COUNT($BQ$4:$BQ212) / COUNT($BQ$4:$BQ$292)</f>
        <v>0.72318339100346019</v>
      </c>
    </row>
    <row r="213" spans="64:70" x14ac:dyDescent="0.25">
      <c r="BL213" s="3">
        <v>2016</v>
      </c>
      <c r="BM213" s="3" t="s">
        <v>145</v>
      </c>
      <c r="BN213" s="3" t="s">
        <v>7</v>
      </c>
      <c r="BO213" s="3" t="s">
        <v>40</v>
      </c>
      <c r="BP213" s="3" t="s">
        <v>43</v>
      </c>
      <c r="BQ213" s="54">
        <v>33579996</v>
      </c>
      <c r="BR213" s="59">
        <f>COUNT($BQ$4:$BQ213) / COUNT($BQ$4:$BQ$292)</f>
        <v>0.72664359861591699</v>
      </c>
    </row>
    <row r="214" spans="64:70" x14ac:dyDescent="0.25">
      <c r="BL214" s="3">
        <v>2016</v>
      </c>
      <c r="BM214" s="3" t="s">
        <v>146</v>
      </c>
      <c r="BN214" s="3" t="s">
        <v>7</v>
      </c>
      <c r="BO214" s="3" t="s">
        <v>40</v>
      </c>
      <c r="BP214" s="3" t="s">
        <v>43</v>
      </c>
      <c r="BQ214" s="54">
        <v>33579996</v>
      </c>
      <c r="BR214" s="59">
        <f>COUNT($BQ$4:$BQ214) / COUNT($BQ$4:$BQ$292)</f>
        <v>0.73010380622837368</v>
      </c>
    </row>
    <row r="215" spans="64:70" x14ac:dyDescent="0.25">
      <c r="BL215" s="3">
        <v>2016</v>
      </c>
      <c r="BM215" s="3" t="s">
        <v>148</v>
      </c>
      <c r="BN215" s="3" t="s">
        <v>7</v>
      </c>
      <c r="BO215" s="3" t="s">
        <v>40</v>
      </c>
      <c r="BP215" s="3" t="s">
        <v>43</v>
      </c>
      <c r="BQ215" s="54">
        <v>33579996</v>
      </c>
      <c r="BR215" s="59">
        <f>COUNT($BQ$4:$BQ215) / COUNT($BQ$4:$BQ$292)</f>
        <v>0.73356401384083048</v>
      </c>
    </row>
    <row r="216" spans="64:70" x14ac:dyDescent="0.25">
      <c r="BL216" s="3">
        <v>2009</v>
      </c>
      <c r="BM216" s="3" t="s">
        <v>117</v>
      </c>
      <c r="BN216" s="3" t="s">
        <v>155</v>
      </c>
      <c r="BO216" s="3" t="s">
        <v>25</v>
      </c>
      <c r="BP216" s="3" t="s">
        <v>26</v>
      </c>
      <c r="BQ216" s="54">
        <v>33633173</v>
      </c>
      <c r="BR216" s="59">
        <f>COUNT($BQ$4:$BQ216) / COUNT($BQ$4:$BQ$292)</f>
        <v>0.73702422145328716</v>
      </c>
    </row>
    <row r="217" spans="64:70" x14ac:dyDescent="0.25">
      <c r="BL217" s="3">
        <v>2018</v>
      </c>
      <c r="BM217" s="3" t="s">
        <v>50</v>
      </c>
      <c r="BN217" s="3" t="s">
        <v>7</v>
      </c>
      <c r="BO217" s="3" t="s">
        <v>8</v>
      </c>
      <c r="BP217" s="3" t="s">
        <v>51</v>
      </c>
      <c r="BQ217" s="54">
        <v>33846997</v>
      </c>
      <c r="BR217" s="59">
        <f>COUNT($BQ$4:$BQ217) / COUNT($BQ$4:$BQ$292)</f>
        <v>0.74048442906574397</v>
      </c>
    </row>
    <row r="218" spans="64:70" x14ac:dyDescent="0.25">
      <c r="BL218" s="3">
        <v>2014</v>
      </c>
      <c r="BM218" s="3" t="s">
        <v>193</v>
      </c>
      <c r="BN218" s="3" t="s">
        <v>7</v>
      </c>
      <c r="BO218" s="3" t="s">
        <v>36</v>
      </c>
      <c r="BP218" s="3" t="s">
        <v>81</v>
      </c>
      <c r="BQ218" s="54">
        <v>35519351</v>
      </c>
      <c r="BR218" s="59">
        <f>COUNT($BQ$4:$BQ218) / COUNT($BQ$4:$BQ$292)</f>
        <v>0.74394463667820065</v>
      </c>
    </row>
    <row r="219" spans="64:70" x14ac:dyDescent="0.25">
      <c r="BL219" s="3">
        <v>2014</v>
      </c>
      <c r="BM219" s="3" t="s">
        <v>196</v>
      </c>
      <c r="BN219" s="3" t="s">
        <v>7</v>
      </c>
      <c r="BO219" s="3" t="s">
        <v>36</v>
      </c>
      <c r="BP219" s="3" t="s">
        <v>81</v>
      </c>
      <c r="BQ219" s="54">
        <v>35519351</v>
      </c>
      <c r="BR219" s="59">
        <f>COUNT($BQ$4:$BQ219) / COUNT($BQ$4:$BQ$292)</f>
        <v>0.74740484429065746</v>
      </c>
    </row>
    <row r="220" spans="64:70" x14ac:dyDescent="0.25">
      <c r="BL220" s="3">
        <v>2010</v>
      </c>
      <c r="BM220" s="3" t="s">
        <v>332</v>
      </c>
      <c r="BN220" s="3" t="s">
        <v>92</v>
      </c>
      <c r="BO220" s="3" t="s">
        <v>36</v>
      </c>
      <c r="BP220" s="3" t="s">
        <v>81</v>
      </c>
      <c r="BQ220" s="54">
        <v>35797093</v>
      </c>
      <c r="BR220" s="59">
        <f>COUNT($BQ$4:$BQ220) / COUNT($BQ$4:$BQ$292)</f>
        <v>0.75086505190311414</v>
      </c>
    </row>
    <row r="221" spans="64:70" x14ac:dyDescent="0.25">
      <c r="BL221" s="3">
        <v>2013</v>
      </c>
      <c r="BM221" s="3" t="s">
        <v>218</v>
      </c>
      <c r="BN221" s="3" t="s">
        <v>7</v>
      </c>
      <c r="BO221" s="3" t="s">
        <v>12</v>
      </c>
      <c r="BP221" s="3" t="s">
        <v>13</v>
      </c>
      <c r="BQ221" s="54">
        <v>37093340</v>
      </c>
      <c r="BR221" s="59">
        <f>COUNT($BQ$4:$BQ221) / COUNT($BQ$4:$BQ$292)</f>
        <v>0.75432525951557095</v>
      </c>
    </row>
    <row r="222" spans="64:70" x14ac:dyDescent="0.25">
      <c r="BL222" s="3">
        <v>2010</v>
      </c>
      <c r="BM222" s="3" t="s">
        <v>306</v>
      </c>
      <c r="BN222" s="3" t="s">
        <v>283</v>
      </c>
      <c r="BO222" s="3" t="s">
        <v>8</v>
      </c>
      <c r="BP222" s="3" t="s">
        <v>51</v>
      </c>
      <c r="BQ222" s="54">
        <v>38031431</v>
      </c>
      <c r="BR222" s="59">
        <f>COUNT($BQ$4:$BQ222) / COUNT($BQ$4:$BQ$292)</f>
        <v>0.75778546712802763</v>
      </c>
    </row>
    <row r="223" spans="64:70" x14ac:dyDescent="0.25">
      <c r="BL223" s="3">
        <v>2010</v>
      </c>
      <c r="BM223" s="3" t="s">
        <v>347</v>
      </c>
      <c r="BN223" s="3" t="s">
        <v>155</v>
      </c>
      <c r="BO223" s="3" t="s">
        <v>54</v>
      </c>
      <c r="BP223" s="3" t="s">
        <v>55</v>
      </c>
      <c r="BQ223" s="54">
        <v>40212258</v>
      </c>
      <c r="BR223" s="59">
        <f>COUNT($BQ$4:$BQ223) / COUNT($BQ$4:$BQ$292)</f>
        <v>0.76124567474048443</v>
      </c>
    </row>
    <row r="224" spans="64:70" x14ac:dyDescent="0.25">
      <c r="BL224" s="3">
        <v>2017</v>
      </c>
      <c r="BM224" s="3" t="s">
        <v>99</v>
      </c>
      <c r="BN224" s="3" t="s">
        <v>7</v>
      </c>
      <c r="BO224" s="3" t="s">
        <v>36</v>
      </c>
      <c r="BP224" s="3" t="s">
        <v>81</v>
      </c>
      <c r="BQ224" s="54">
        <v>41357831</v>
      </c>
      <c r="BR224" s="59">
        <f>COUNT($BQ$4:$BQ224) / COUNT($BQ$4:$BQ$292)</f>
        <v>0.76470588235294112</v>
      </c>
    </row>
    <row r="225" spans="64:71" x14ac:dyDescent="0.25">
      <c r="BL225" s="3">
        <v>2017</v>
      </c>
      <c r="BM225" s="3" t="s">
        <v>116</v>
      </c>
      <c r="BN225" s="3" t="s">
        <v>7</v>
      </c>
      <c r="BO225" s="3" t="s">
        <v>25</v>
      </c>
      <c r="BP225" s="3" t="s">
        <v>117</v>
      </c>
      <c r="BQ225" s="54">
        <v>41916213</v>
      </c>
      <c r="BR225" s="59">
        <f>COUNT($BQ$4:$BQ225) / COUNT($BQ$4:$BQ$292)</f>
        <v>0.76816608996539792</v>
      </c>
    </row>
    <row r="226" spans="64:71" x14ac:dyDescent="0.25">
      <c r="BL226" s="3">
        <v>2011</v>
      </c>
      <c r="BM226" s="3" t="s">
        <v>284</v>
      </c>
      <c r="BN226" s="3" t="s">
        <v>283</v>
      </c>
      <c r="BO226" s="3" t="s">
        <v>64</v>
      </c>
      <c r="BP226" s="3" t="s">
        <v>65</v>
      </c>
      <c r="BQ226" s="54">
        <v>42742111</v>
      </c>
      <c r="BR226" s="59">
        <f>COUNT($BQ$4:$BQ226) / COUNT($BQ$4:$BQ$292)</f>
        <v>0.77162629757785473</v>
      </c>
    </row>
    <row r="227" spans="64:71" x14ac:dyDescent="0.25">
      <c r="BL227" s="3">
        <v>2009</v>
      </c>
      <c r="BM227" s="3" t="s">
        <v>381</v>
      </c>
      <c r="BN227" s="3" t="s">
        <v>283</v>
      </c>
      <c r="BO227" s="3" t="s">
        <v>290</v>
      </c>
      <c r="BP227" s="3" t="s">
        <v>291</v>
      </c>
      <c r="BQ227" s="54">
        <v>45363063</v>
      </c>
      <c r="BR227" s="59">
        <f>COUNT($BQ$4:$BQ227) / COUNT($BQ$4:$BQ$292)</f>
        <v>0.77508650519031141</v>
      </c>
    </row>
    <row r="228" spans="64:71" x14ac:dyDescent="0.25">
      <c r="BL228" s="3">
        <v>2011</v>
      </c>
      <c r="BM228" s="3" t="s">
        <v>164</v>
      </c>
      <c r="BN228" s="3" t="s">
        <v>155</v>
      </c>
      <c r="BO228" s="3" t="s">
        <v>164</v>
      </c>
      <c r="BP228" s="3" t="s">
        <v>165</v>
      </c>
      <c r="BQ228" s="54">
        <v>45746758</v>
      </c>
      <c r="BR228" s="59">
        <f>COUNT($BQ$4:$BQ228) / COUNT($BQ$4:$BQ$292)</f>
        <v>0.77854671280276821</v>
      </c>
    </row>
    <row r="229" spans="64:71" x14ac:dyDescent="0.25">
      <c r="BL229" s="3">
        <v>2012</v>
      </c>
      <c r="BM229" s="3" t="s">
        <v>258</v>
      </c>
      <c r="BN229" s="3" t="s">
        <v>92</v>
      </c>
      <c r="BO229" s="3" t="s">
        <v>8</v>
      </c>
      <c r="BP229" s="3" t="s">
        <v>51</v>
      </c>
      <c r="BQ229" s="54">
        <v>47105412</v>
      </c>
      <c r="BR229" s="59">
        <f>COUNT($BQ$4:$BQ229) / COUNT($BQ$4:$BQ$292)</f>
        <v>0.7820069204152249</v>
      </c>
    </row>
    <row r="230" spans="64:71" x14ac:dyDescent="0.25">
      <c r="BL230" s="3">
        <v>2014</v>
      </c>
      <c r="BM230" s="3" t="s">
        <v>192</v>
      </c>
      <c r="BN230" s="3" t="s">
        <v>7</v>
      </c>
      <c r="BO230" s="3" t="s">
        <v>36</v>
      </c>
      <c r="BP230" s="3" t="s">
        <v>37</v>
      </c>
      <c r="BQ230" s="54">
        <v>47108300</v>
      </c>
      <c r="BR230" s="59">
        <f>COUNT($BQ$4:$BQ230) / COUNT($BQ$4:$BQ$292)</f>
        <v>0.7854671280276817</v>
      </c>
    </row>
    <row r="231" spans="64:71" x14ac:dyDescent="0.25">
      <c r="BL231" s="3">
        <v>2016</v>
      </c>
      <c r="BM231" s="3" t="s">
        <v>134</v>
      </c>
      <c r="BN231" s="3" t="s">
        <v>7</v>
      </c>
      <c r="BO231" s="3" t="s">
        <v>20</v>
      </c>
      <c r="BP231" s="3" t="s">
        <v>23</v>
      </c>
      <c r="BQ231" s="54">
        <v>47863950</v>
      </c>
      <c r="BR231" s="59">
        <f>COUNT($BQ$4:$BQ231) / COUNT($BQ$4:$BQ$292)</f>
        <v>0.78892733564013839</v>
      </c>
    </row>
    <row r="232" spans="64:71" x14ac:dyDescent="0.25">
      <c r="BL232" s="3">
        <v>2013</v>
      </c>
      <c r="BM232" s="3" t="s">
        <v>231</v>
      </c>
      <c r="BN232" s="3" t="s">
        <v>7</v>
      </c>
      <c r="BO232" s="3" t="s">
        <v>20</v>
      </c>
      <c r="BP232" s="3" t="s">
        <v>120</v>
      </c>
      <c r="BQ232" s="54">
        <v>48796342</v>
      </c>
      <c r="BR232" s="59">
        <f>COUNT($BQ$4:$BQ232) / COUNT($BQ$4:$BQ$292)</f>
        <v>0.79238754325259519</v>
      </c>
    </row>
    <row r="233" spans="64:71" x14ac:dyDescent="0.25">
      <c r="BL233" s="3">
        <v>2012</v>
      </c>
      <c r="BM233" s="3" t="s">
        <v>248</v>
      </c>
      <c r="BN233" s="3" t="s">
        <v>7</v>
      </c>
      <c r="BO233" s="3" t="s">
        <v>54</v>
      </c>
      <c r="BP233" s="3" t="s">
        <v>236</v>
      </c>
      <c r="BQ233" s="54">
        <v>49668573</v>
      </c>
      <c r="BR233" s="59">
        <f>COUNT($BQ$4:$BQ233) / COUNT($BQ$4:$BQ$292)</f>
        <v>0.79584775086505188</v>
      </c>
    </row>
    <row r="234" spans="64:71" x14ac:dyDescent="0.25">
      <c r="BL234" s="3">
        <v>2010</v>
      </c>
      <c r="BM234" s="3" t="s">
        <v>338</v>
      </c>
      <c r="BN234" s="3" t="s">
        <v>7</v>
      </c>
      <c r="BO234" s="3" t="s">
        <v>32</v>
      </c>
      <c r="BP234" s="3" t="s">
        <v>33</v>
      </c>
      <c r="BQ234" s="54">
        <v>49718183</v>
      </c>
      <c r="BR234" s="59">
        <f>COUNT($BQ$4:$BQ234) / COUNT($BQ$4:$BQ$292)</f>
        <v>0.79930795847750868</v>
      </c>
    </row>
    <row r="235" spans="64:71" x14ac:dyDescent="0.25">
      <c r="BL235" s="3">
        <v>2018</v>
      </c>
      <c r="BM235" s="3" t="s">
        <v>84</v>
      </c>
      <c r="BN235" s="3" t="s">
        <v>7</v>
      </c>
      <c r="BO235" s="3" t="s">
        <v>36</v>
      </c>
      <c r="BP235" s="3" t="s">
        <v>81</v>
      </c>
      <c r="BQ235" s="54">
        <v>52402172</v>
      </c>
      <c r="BR235" s="59">
        <f>COUNT($BQ$4:$BQ235) / COUNT($BQ$4:$BQ$292)</f>
        <v>0.80276816608996537</v>
      </c>
      <c r="BS235">
        <v>9</v>
      </c>
    </row>
    <row r="236" spans="64:71" x14ac:dyDescent="0.25">
      <c r="BL236" s="30">
        <v>2020</v>
      </c>
      <c r="BM236" s="30" t="s">
        <v>1313</v>
      </c>
      <c r="BN236" s="30" t="s">
        <v>7</v>
      </c>
      <c r="BO236" s="30" t="s">
        <v>12</v>
      </c>
      <c r="BP236" s="30" t="s">
        <v>1314</v>
      </c>
      <c r="BQ236" s="54">
        <v>52698328</v>
      </c>
      <c r="BR236" s="59">
        <f>COUNT($BQ$4:$BQ236) / COUNT($BQ$4:$BQ$292)</f>
        <v>0.80622837370242217</v>
      </c>
    </row>
    <row r="237" spans="64:71" x14ac:dyDescent="0.25">
      <c r="BL237" s="3">
        <v>2010</v>
      </c>
      <c r="BM237" s="3" t="s">
        <v>328</v>
      </c>
      <c r="BN237" s="3" t="s">
        <v>7</v>
      </c>
      <c r="BO237" s="3" t="s">
        <v>36</v>
      </c>
      <c r="BP237" s="3" t="s">
        <v>94</v>
      </c>
      <c r="BQ237" s="54">
        <v>54286313</v>
      </c>
      <c r="BR237" s="59">
        <f>COUNT($BQ$4:$BQ237) / COUNT($BQ$4:$BQ$292)</f>
        <v>0.80968858131487886</v>
      </c>
    </row>
    <row r="238" spans="64:71" x14ac:dyDescent="0.25">
      <c r="BL238" s="3">
        <v>2010</v>
      </c>
      <c r="BM238" s="3" t="s">
        <v>330</v>
      </c>
      <c r="BN238" s="3" t="s">
        <v>7</v>
      </c>
      <c r="BO238" s="3" t="s">
        <v>36</v>
      </c>
      <c r="BP238" s="3" t="s">
        <v>94</v>
      </c>
      <c r="BQ238" s="54">
        <v>54286313</v>
      </c>
      <c r="BR238" s="59">
        <f>COUNT($BQ$4:$BQ238) / COUNT($BQ$4:$BQ$292)</f>
        <v>0.81314878892733566</v>
      </c>
    </row>
    <row r="239" spans="64:71" x14ac:dyDescent="0.25">
      <c r="BL239" s="3">
        <v>2010</v>
      </c>
      <c r="BM239" s="3" t="s">
        <v>331</v>
      </c>
      <c r="BN239" s="3" t="s">
        <v>7</v>
      </c>
      <c r="BO239" s="3" t="s">
        <v>36</v>
      </c>
      <c r="BP239" s="3" t="s">
        <v>94</v>
      </c>
      <c r="BQ239" s="54">
        <v>54286313</v>
      </c>
      <c r="BR239" s="59">
        <f>COUNT($BQ$4:$BQ239) / COUNT($BQ$4:$BQ$292)</f>
        <v>0.81660899653979235</v>
      </c>
    </row>
    <row r="240" spans="64:71" x14ac:dyDescent="0.25">
      <c r="BL240" s="30">
        <v>2020</v>
      </c>
      <c r="BM240" s="30" t="s">
        <v>715</v>
      </c>
      <c r="BN240" s="30" t="s">
        <v>67</v>
      </c>
      <c r="BO240" s="30" t="s">
        <v>54</v>
      </c>
      <c r="BP240" s="30" t="s">
        <v>236</v>
      </c>
      <c r="BQ240" s="54">
        <v>56677013</v>
      </c>
      <c r="BR240" s="59">
        <f>COUNT($BQ$4:$BQ240) / COUNT($BQ$4:$BQ$292)</f>
        <v>0.82006920415224915</v>
      </c>
    </row>
    <row r="241" spans="64:70" x14ac:dyDescent="0.25">
      <c r="BL241" s="3">
        <v>2017</v>
      </c>
      <c r="BM241" s="3" t="s">
        <v>96</v>
      </c>
      <c r="BN241" s="3" t="s">
        <v>7</v>
      </c>
      <c r="BO241" s="3" t="s">
        <v>36</v>
      </c>
      <c r="BP241" s="3" t="s">
        <v>94</v>
      </c>
      <c r="BQ241" s="54">
        <v>56842692</v>
      </c>
      <c r="BR241" s="59">
        <f>COUNT($BQ$4:$BQ241) / COUNT($BQ$4:$BQ$292)</f>
        <v>0.82352941176470584</v>
      </c>
    </row>
    <row r="242" spans="64:70" x14ac:dyDescent="0.25">
      <c r="BL242" s="30">
        <v>2020</v>
      </c>
      <c r="BM242" s="30" t="s">
        <v>1297</v>
      </c>
      <c r="BN242" s="30" t="s">
        <v>7</v>
      </c>
      <c r="BO242" s="30" t="s">
        <v>12</v>
      </c>
      <c r="BP242" s="30" t="s">
        <v>13</v>
      </c>
      <c r="BQ242" s="54">
        <v>57422510</v>
      </c>
      <c r="BR242" s="59">
        <f>COUNT($BQ$4:$BQ242) / COUNT($BQ$4:$BQ$292)</f>
        <v>0.82698961937716264</v>
      </c>
    </row>
    <row r="243" spans="64:70" x14ac:dyDescent="0.25">
      <c r="BL243" s="3">
        <v>2019</v>
      </c>
      <c r="BM243" s="3" t="s">
        <v>39</v>
      </c>
      <c r="BN243" s="3" t="s">
        <v>7</v>
      </c>
      <c r="BO243" s="3" t="s">
        <v>40</v>
      </c>
      <c r="BP243" s="3" t="s">
        <v>41</v>
      </c>
      <c r="BQ243" s="54">
        <v>57769694</v>
      </c>
      <c r="BR243" s="59">
        <f>COUNT($BQ$4:$BQ243) / COUNT($BQ$4:$BQ$292)</f>
        <v>0.83044982698961933</v>
      </c>
    </row>
    <row r="244" spans="64:70" x14ac:dyDescent="0.25">
      <c r="BL244" s="3">
        <v>2018</v>
      </c>
      <c r="BM244" s="3" t="s">
        <v>53</v>
      </c>
      <c r="BN244" s="3" t="s">
        <v>7</v>
      </c>
      <c r="BO244" s="3" t="s">
        <v>54</v>
      </c>
      <c r="BP244" s="3" t="s">
        <v>55</v>
      </c>
      <c r="BQ244" s="54">
        <v>58364108</v>
      </c>
      <c r="BR244" s="59">
        <f>COUNT($BQ$4:$BQ244) / COUNT($BQ$4:$BQ$292)</f>
        <v>0.83391003460207613</v>
      </c>
    </row>
    <row r="245" spans="64:70" x14ac:dyDescent="0.25">
      <c r="BL245" s="3">
        <v>2014</v>
      </c>
      <c r="BM245" s="3" t="s">
        <v>208</v>
      </c>
      <c r="BN245" s="3" t="s">
        <v>7</v>
      </c>
      <c r="BO245" s="3" t="s">
        <v>40</v>
      </c>
      <c r="BP245" s="3" t="s">
        <v>160</v>
      </c>
      <c r="BQ245" s="54">
        <v>60148823</v>
      </c>
      <c r="BR245" s="59">
        <f>COUNT($BQ$4:$BQ245) / COUNT($BQ$4:$BQ$292)</f>
        <v>0.83737024221453282</v>
      </c>
    </row>
    <row r="246" spans="64:70" x14ac:dyDescent="0.25">
      <c r="BL246" s="3">
        <v>2018</v>
      </c>
      <c r="BM246" s="3" t="s">
        <v>85</v>
      </c>
      <c r="BN246" s="3" t="s">
        <v>7</v>
      </c>
      <c r="BO246" s="3" t="s">
        <v>40</v>
      </c>
      <c r="BP246" s="3" t="s">
        <v>41</v>
      </c>
      <c r="BQ246" s="54">
        <v>62400632</v>
      </c>
      <c r="BR246" s="59">
        <f>COUNT($BQ$4:$BQ246) / COUNT($BQ$4:$BQ$292)</f>
        <v>0.84083044982698962</v>
      </c>
    </row>
    <row r="247" spans="64:70" x14ac:dyDescent="0.25">
      <c r="BL247" s="3">
        <v>2018</v>
      </c>
      <c r="BM247" s="3" t="s">
        <v>79</v>
      </c>
      <c r="BN247" s="3" t="s">
        <v>7</v>
      </c>
      <c r="BO247" s="3" t="s">
        <v>36</v>
      </c>
      <c r="BP247" s="3" t="s">
        <v>37</v>
      </c>
      <c r="BQ247" s="54">
        <v>63199382</v>
      </c>
      <c r="BR247" s="59">
        <f>COUNT($BQ$4:$BQ247) / COUNT($BQ$4:$BQ$292)</f>
        <v>0.84429065743944631</v>
      </c>
    </row>
    <row r="248" spans="64:70" x14ac:dyDescent="0.25">
      <c r="BL248" s="3">
        <v>2011</v>
      </c>
      <c r="BM248" s="3" t="s">
        <v>300</v>
      </c>
      <c r="BN248" s="3" t="s">
        <v>7</v>
      </c>
      <c r="BO248" s="3" t="s">
        <v>12</v>
      </c>
      <c r="BP248" s="3" t="s">
        <v>13</v>
      </c>
      <c r="BQ248" s="54">
        <v>64804226</v>
      </c>
      <c r="BR248" s="59">
        <f>COUNT($BQ$4:$BQ248) / COUNT($BQ$4:$BQ$292)</f>
        <v>0.84775086505190311</v>
      </c>
    </row>
    <row r="249" spans="64:70" x14ac:dyDescent="0.25">
      <c r="BL249" s="3">
        <v>2017</v>
      </c>
      <c r="BM249" s="3" t="s">
        <v>101</v>
      </c>
      <c r="BN249" s="3" t="s">
        <v>7</v>
      </c>
      <c r="BO249" s="3" t="s">
        <v>32</v>
      </c>
      <c r="BP249" s="3" t="s">
        <v>33</v>
      </c>
      <c r="BQ249" s="54">
        <v>73309273</v>
      </c>
      <c r="BR249" s="59">
        <f>COUNT($BQ$4:$BQ249) / COUNT($BQ$4:$BQ$292)</f>
        <v>0.85121107266435991</v>
      </c>
    </row>
    <row r="250" spans="64:70" x14ac:dyDescent="0.25">
      <c r="BL250" s="3">
        <v>2013</v>
      </c>
      <c r="BM250" s="3" t="s">
        <v>224</v>
      </c>
      <c r="BN250" s="3" t="s">
        <v>7</v>
      </c>
      <c r="BO250" s="3" t="s">
        <v>12</v>
      </c>
      <c r="BP250" s="3" t="s">
        <v>12</v>
      </c>
      <c r="BQ250" s="54">
        <v>74795519</v>
      </c>
      <c r="BR250" s="59">
        <f>COUNT($BQ$4:$BQ250) / COUNT($BQ$4:$BQ$292)</f>
        <v>0.8546712802768166</v>
      </c>
    </row>
    <row r="251" spans="64:70" x14ac:dyDescent="0.25">
      <c r="BL251" s="3">
        <v>2015</v>
      </c>
      <c r="BM251" s="3" t="s">
        <v>169</v>
      </c>
      <c r="BN251" s="3" t="s">
        <v>7</v>
      </c>
      <c r="BO251" s="3" t="s">
        <v>36</v>
      </c>
      <c r="BP251" s="3" t="s">
        <v>37</v>
      </c>
      <c r="BQ251" s="54">
        <v>77615694</v>
      </c>
      <c r="BR251" s="59">
        <f>COUNT($BQ$4:$BQ251) / COUNT($BQ$4:$BQ$292)</f>
        <v>0.8581314878892734</v>
      </c>
    </row>
    <row r="252" spans="64:70" x14ac:dyDescent="0.25">
      <c r="BL252" s="3">
        <v>2014</v>
      </c>
      <c r="BM252" s="3" t="s">
        <v>198</v>
      </c>
      <c r="BN252" s="3" t="s">
        <v>7</v>
      </c>
      <c r="BO252" s="3" t="s">
        <v>54</v>
      </c>
      <c r="BP252" s="3" t="s">
        <v>55</v>
      </c>
      <c r="BQ252" s="54">
        <v>78013596</v>
      </c>
      <c r="BR252" s="59">
        <f>COUNT($BQ$4:$BQ252) / COUNT($BQ$4:$BQ$292)</f>
        <v>0.86159169550173009</v>
      </c>
    </row>
    <row r="253" spans="64:70" x14ac:dyDescent="0.25">
      <c r="BL253" s="3">
        <v>2017</v>
      </c>
      <c r="BM253" s="3" t="s">
        <v>93</v>
      </c>
      <c r="BN253" s="3" t="s">
        <v>7</v>
      </c>
      <c r="BO253" s="3" t="s">
        <v>36</v>
      </c>
      <c r="BP253" s="3" t="s">
        <v>94</v>
      </c>
      <c r="BQ253" s="54">
        <v>79976867</v>
      </c>
      <c r="BR253" s="59">
        <f>COUNT($BQ$4:$BQ253) / COUNT($BQ$4:$BQ$292)</f>
        <v>0.86505190311418689</v>
      </c>
    </row>
    <row r="254" spans="64:70" x14ac:dyDescent="0.25">
      <c r="BL254" s="30">
        <v>2020</v>
      </c>
      <c r="BM254" s="30" t="s">
        <v>1296</v>
      </c>
      <c r="BN254" s="30" t="s">
        <v>7</v>
      </c>
      <c r="BO254" s="30" t="s">
        <v>12</v>
      </c>
      <c r="BP254" s="30" t="s">
        <v>13</v>
      </c>
      <c r="BQ254" s="54">
        <v>84297308</v>
      </c>
      <c r="BR254" s="59">
        <f>COUNT($BQ$4:$BQ254) / COUNT($BQ$4:$BQ$292)</f>
        <v>0.86851211072664358</v>
      </c>
    </row>
    <row r="255" spans="64:70" x14ac:dyDescent="0.25">
      <c r="BL255" s="3">
        <v>2016</v>
      </c>
      <c r="BM255" s="3" t="s">
        <v>126</v>
      </c>
      <c r="BN255" s="3" t="s">
        <v>7</v>
      </c>
      <c r="BO255" s="3" t="s">
        <v>64</v>
      </c>
      <c r="BP255" s="3" t="s">
        <v>65</v>
      </c>
      <c r="BQ255" s="54">
        <v>84542423</v>
      </c>
      <c r="BR255" s="59">
        <f>COUNT($BQ$4:$BQ255) / COUNT($BQ$4:$BQ$292)</f>
        <v>0.87197231833910038</v>
      </c>
    </row>
    <row r="256" spans="64:70" x14ac:dyDescent="0.25">
      <c r="BL256" s="3">
        <v>2018</v>
      </c>
      <c r="BM256" s="3" t="s">
        <v>70</v>
      </c>
      <c r="BN256" s="3" t="s">
        <v>7</v>
      </c>
      <c r="BO256" s="3" t="s">
        <v>71</v>
      </c>
      <c r="BP256" s="3" t="s">
        <v>72</v>
      </c>
      <c r="BQ256" s="54">
        <v>84799384</v>
      </c>
      <c r="BR256" s="59">
        <f>COUNT($BQ$4:$BQ256) / COUNT($BQ$4:$BQ$292)</f>
        <v>0.87543252595155707</v>
      </c>
    </row>
    <row r="257" spans="64:71" x14ac:dyDescent="0.25">
      <c r="BL257" s="3">
        <v>2011</v>
      </c>
      <c r="BM257" s="3" t="s">
        <v>303</v>
      </c>
      <c r="BN257" s="3" t="s">
        <v>7</v>
      </c>
      <c r="BO257" s="3" t="s">
        <v>36</v>
      </c>
      <c r="BP257" s="3" t="s">
        <v>37</v>
      </c>
      <c r="BQ257" s="54">
        <v>88519635</v>
      </c>
      <c r="BR257" s="59">
        <f>COUNT($BQ$4:$BQ257) / COUNT($BQ$4:$BQ$292)</f>
        <v>0.87889273356401387</v>
      </c>
    </row>
    <row r="258" spans="64:71" x14ac:dyDescent="0.25">
      <c r="BL258" s="3">
        <v>2013</v>
      </c>
      <c r="BM258" s="3" t="s">
        <v>219</v>
      </c>
      <c r="BN258" s="3" t="s">
        <v>7</v>
      </c>
      <c r="BO258" s="3" t="s">
        <v>40</v>
      </c>
      <c r="BP258" s="3" t="s">
        <v>160</v>
      </c>
      <c r="BQ258" s="54">
        <v>90606946</v>
      </c>
      <c r="BR258" s="59">
        <f>COUNT($BQ$4:$BQ258) / COUNT($BQ$4:$BQ$292)</f>
        <v>0.88235294117647056</v>
      </c>
    </row>
    <row r="259" spans="64:71" x14ac:dyDescent="0.25">
      <c r="BL259" s="3">
        <v>2013</v>
      </c>
      <c r="BM259" s="3" t="s">
        <v>235</v>
      </c>
      <c r="BN259" s="3" t="s">
        <v>7</v>
      </c>
      <c r="BO259" s="3" t="s">
        <v>54</v>
      </c>
      <c r="BP259" s="3" t="s">
        <v>236</v>
      </c>
      <c r="BQ259" s="54">
        <v>94844638</v>
      </c>
      <c r="BR259" s="59">
        <f>COUNT($BQ$4:$BQ259) / COUNT($BQ$4:$BQ$292)</f>
        <v>0.88581314878892736</v>
      </c>
    </row>
    <row r="260" spans="64:71" x14ac:dyDescent="0.25">
      <c r="BL260" s="3">
        <v>2010</v>
      </c>
      <c r="BM260" s="3" t="s">
        <v>326</v>
      </c>
      <c r="BN260" s="3" t="s">
        <v>92</v>
      </c>
      <c r="BO260" s="3" t="s">
        <v>36</v>
      </c>
      <c r="BP260" s="3" t="s">
        <v>37</v>
      </c>
      <c r="BQ260" s="54">
        <v>97146306</v>
      </c>
      <c r="BR260" s="59">
        <f>COUNT($BQ$4:$BQ260) / COUNT($BQ$4:$BQ$292)</f>
        <v>0.88927335640138405</v>
      </c>
    </row>
    <row r="261" spans="64:71" x14ac:dyDescent="0.25">
      <c r="BL261" s="3">
        <v>2020</v>
      </c>
      <c r="BM261" s="3" t="s">
        <v>1301</v>
      </c>
      <c r="BN261" s="3" t="s">
        <v>7</v>
      </c>
      <c r="BO261" s="3" t="s">
        <v>36</v>
      </c>
      <c r="BP261" s="3" t="s">
        <v>1302</v>
      </c>
      <c r="BQ261" s="54">
        <v>104435176</v>
      </c>
      <c r="BR261" s="59">
        <f>COUNT($BQ$4:$BQ261) / COUNT($BQ$4:$BQ$292)</f>
        <v>0.89273356401384085</v>
      </c>
      <c r="BS261">
        <v>10</v>
      </c>
    </row>
    <row r="262" spans="64:71" x14ac:dyDescent="0.25">
      <c r="BL262" s="3">
        <v>2015</v>
      </c>
      <c r="BM262" s="3" t="s">
        <v>166</v>
      </c>
      <c r="BN262" s="3" t="s">
        <v>7</v>
      </c>
      <c r="BO262" s="3" t="s">
        <v>71</v>
      </c>
      <c r="BP262" s="3" t="s">
        <v>167</v>
      </c>
      <c r="BQ262" s="54">
        <v>107765502</v>
      </c>
      <c r="BR262" s="59">
        <f>COUNT($BQ$4:$BQ262) / COUNT($BQ$4:$BQ$292)</f>
        <v>0.89619377162629754</v>
      </c>
    </row>
    <row r="263" spans="64:71" x14ac:dyDescent="0.25">
      <c r="BL263" s="3">
        <v>2012</v>
      </c>
      <c r="BM263" s="3" t="s">
        <v>253</v>
      </c>
      <c r="BN263" s="3" t="s">
        <v>92</v>
      </c>
      <c r="BO263" s="3" t="s">
        <v>8</v>
      </c>
      <c r="BP263" s="3" t="s">
        <v>51</v>
      </c>
      <c r="BQ263" s="54">
        <v>109325122</v>
      </c>
      <c r="BR263" s="59">
        <f>COUNT($BQ$4:$BQ263) / COUNT($BQ$4:$BQ$292)</f>
        <v>0.89965397923875434</v>
      </c>
    </row>
    <row r="264" spans="64:71" x14ac:dyDescent="0.25">
      <c r="BL264" s="3">
        <v>2018</v>
      </c>
      <c r="BM264" s="3" t="s">
        <v>63</v>
      </c>
      <c r="BN264" s="3" t="s">
        <v>7</v>
      </c>
      <c r="BO264" s="3" t="s">
        <v>64</v>
      </c>
      <c r="BP264" s="3" t="s">
        <v>65</v>
      </c>
      <c r="BQ264" s="54">
        <v>109703625</v>
      </c>
      <c r="BR264" s="59">
        <f>COUNT($BQ$4:$BQ264) / COUNT($BQ$4:$BQ$292)</f>
        <v>0.90311418685121103</v>
      </c>
    </row>
    <row r="265" spans="64:71" x14ac:dyDescent="0.25">
      <c r="BL265" s="3">
        <v>2014</v>
      </c>
      <c r="BM265" s="3" t="s">
        <v>201</v>
      </c>
      <c r="BN265" s="3" t="s">
        <v>92</v>
      </c>
      <c r="BO265" s="3" t="s">
        <v>20</v>
      </c>
      <c r="BP265" s="3" t="s">
        <v>23</v>
      </c>
      <c r="BQ265" s="54">
        <v>111003501</v>
      </c>
      <c r="BR265" s="59">
        <f>COUNT($BQ$4:$BQ265) / COUNT($BQ$4:$BQ$292)</f>
        <v>0.90657439446366783</v>
      </c>
    </row>
    <row r="266" spans="64:71" x14ac:dyDescent="0.25">
      <c r="BL266" s="3">
        <v>2015</v>
      </c>
      <c r="BM266" s="3" t="s">
        <v>154</v>
      </c>
      <c r="BN266" s="3" t="s">
        <v>155</v>
      </c>
      <c r="BO266" s="3" t="s">
        <v>8</v>
      </c>
      <c r="BP266" s="3" t="s">
        <v>156</v>
      </c>
      <c r="BQ266" s="54">
        <v>122905053</v>
      </c>
      <c r="BR266" s="59">
        <f>COUNT($BQ$4:$BQ266) / COUNT($BQ$4:$BQ$292)</f>
        <v>0.91003460207612452</v>
      </c>
    </row>
    <row r="267" spans="64:71" x14ac:dyDescent="0.25">
      <c r="BL267" s="3">
        <v>2011</v>
      </c>
      <c r="BM267" s="3" t="s">
        <v>297</v>
      </c>
      <c r="BN267" s="3" t="s">
        <v>283</v>
      </c>
      <c r="BO267" s="3" t="s">
        <v>20</v>
      </c>
      <c r="BP267" s="3" t="s">
        <v>23</v>
      </c>
      <c r="BQ267" s="54">
        <v>132500546</v>
      </c>
      <c r="BR267" s="59">
        <f>COUNT($BQ$4:$BQ267) / COUNT($BQ$4:$BQ$292)</f>
        <v>0.91349480968858132</v>
      </c>
    </row>
    <row r="268" spans="64:71" x14ac:dyDescent="0.25">
      <c r="BL268" s="3">
        <v>2015</v>
      </c>
      <c r="BM268" s="3" t="s">
        <v>172</v>
      </c>
      <c r="BN268" s="3" t="s">
        <v>7</v>
      </c>
      <c r="BO268" s="3" t="s">
        <v>64</v>
      </c>
      <c r="BP268" s="3" t="s">
        <v>65</v>
      </c>
      <c r="BQ268" s="54">
        <v>150087404</v>
      </c>
      <c r="BR268" s="59">
        <f>COUNT($BQ$4:$BQ268) / COUNT($BQ$4:$BQ$292)</f>
        <v>0.91695501730103801</v>
      </c>
    </row>
    <row r="269" spans="64:71" x14ac:dyDescent="0.25">
      <c r="BL269" s="3">
        <v>2011</v>
      </c>
      <c r="BM269" s="3" t="s">
        <v>293</v>
      </c>
      <c r="BN269" s="3" t="s">
        <v>92</v>
      </c>
      <c r="BO269" s="3" t="s">
        <v>36</v>
      </c>
      <c r="BP269" s="3" t="s">
        <v>81</v>
      </c>
      <c r="BQ269" s="54">
        <v>163943385</v>
      </c>
      <c r="BR269" s="59">
        <f>COUNT($BQ$4:$BQ269) / COUNT($BQ$4:$BQ$292)</f>
        <v>0.92041522491349481</v>
      </c>
    </row>
    <row r="270" spans="64:71" x14ac:dyDescent="0.25">
      <c r="BL270" s="3">
        <v>2013</v>
      </c>
      <c r="BM270" s="3" t="s">
        <v>221</v>
      </c>
      <c r="BN270" s="3" t="s">
        <v>7</v>
      </c>
      <c r="BO270" s="3" t="s">
        <v>36</v>
      </c>
      <c r="BP270" s="3" t="s">
        <v>94</v>
      </c>
      <c r="BQ270" s="54">
        <v>176613415</v>
      </c>
      <c r="BR270" s="59">
        <f>COUNT($BQ$4:$BQ270) / COUNT($BQ$4:$BQ$292)</f>
        <v>0.92387543252595161</v>
      </c>
    </row>
    <row r="271" spans="64:71" x14ac:dyDescent="0.25">
      <c r="BL271" s="3">
        <v>2009</v>
      </c>
      <c r="BM271" s="3" t="s">
        <v>360</v>
      </c>
      <c r="BN271" s="3" t="s">
        <v>283</v>
      </c>
      <c r="BO271" s="3" t="s">
        <v>36</v>
      </c>
      <c r="BP271" s="3" t="s">
        <v>37</v>
      </c>
      <c r="BQ271" s="54">
        <v>198682667</v>
      </c>
      <c r="BR271" s="59">
        <f>COUNT($BQ$4:$BQ271) / COUNT($BQ$4:$BQ$292)</f>
        <v>0.9273356401384083</v>
      </c>
    </row>
    <row r="272" spans="64:71" x14ac:dyDescent="0.25">
      <c r="BL272" s="3">
        <v>2016</v>
      </c>
      <c r="BM272" s="3" t="s">
        <v>149</v>
      </c>
      <c r="BN272" s="3" t="s">
        <v>67</v>
      </c>
      <c r="BO272" s="3" t="s">
        <v>25</v>
      </c>
      <c r="BP272" s="3" t="s">
        <v>26</v>
      </c>
      <c r="BQ272" s="54">
        <v>210567084</v>
      </c>
      <c r="BR272" s="59">
        <f>COUNT($BQ$4:$BQ272) / COUNT($BQ$4:$BQ$292)</f>
        <v>0.9307958477508651</v>
      </c>
    </row>
    <row r="273" spans="64:70" x14ac:dyDescent="0.25">
      <c r="BL273" s="3">
        <v>2018</v>
      </c>
      <c r="BM273" s="3" t="s">
        <v>56</v>
      </c>
      <c r="BN273" s="3" t="s">
        <v>7</v>
      </c>
      <c r="BO273" s="3" t="s">
        <v>54</v>
      </c>
      <c r="BP273" s="3" t="s">
        <v>55</v>
      </c>
      <c r="BQ273" s="54">
        <v>222058229</v>
      </c>
      <c r="BR273" s="59">
        <f>COUNT($BQ$4:$BQ273) / COUNT($BQ$4:$BQ$292)</f>
        <v>0.93425605536332179</v>
      </c>
    </row>
    <row r="274" spans="64:70" x14ac:dyDescent="0.25">
      <c r="BL274" s="3">
        <v>2011</v>
      </c>
      <c r="BM274" s="3" t="s">
        <v>298</v>
      </c>
      <c r="BN274" s="3" t="s">
        <v>7</v>
      </c>
      <c r="BO274" s="3" t="s">
        <v>32</v>
      </c>
      <c r="BP274" s="3" t="s">
        <v>33</v>
      </c>
      <c r="BQ274" s="54">
        <v>232570553</v>
      </c>
      <c r="BR274" s="59">
        <f>COUNT($BQ$4:$BQ274) / COUNT($BQ$4:$BQ$292)</f>
        <v>0.93771626297577859</v>
      </c>
    </row>
    <row r="275" spans="64:70" x14ac:dyDescent="0.25">
      <c r="BL275" s="3">
        <v>2010</v>
      </c>
      <c r="BM275" s="3" t="s">
        <v>315</v>
      </c>
      <c r="BN275" s="3" t="s">
        <v>92</v>
      </c>
      <c r="BO275" s="3" t="s">
        <v>36</v>
      </c>
      <c r="BP275" s="3" t="s">
        <v>37</v>
      </c>
      <c r="BQ275" s="54">
        <v>258885559</v>
      </c>
      <c r="BR275" s="59">
        <f>COUNT($BQ$4:$BQ275) / COUNT($BQ$4:$BQ$292)</f>
        <v>0.94117647058823528</v>
      </c>
    </row>
    <row r="276" spans="64:70" x14ac:dyDescent="0.25">
      <c r="BL276" s="3">
        <v>2010</v>
      </c>
      <c r="BM276" s="3" t="s">
        <v>314</v>
      </c>
      <c r="BN276" s="3" t="s">
        <v>92</v>
      </c>
      <c r="BO276" s="3" t="s">
        <v>36</v>
      </c>
      <c r="BP276" s="3" t="s">
        <v>37</v>
      </c>
      <c r="BQ276" s="54">
        <v>258885559</v>
      </c>
      <c r="BR276" s="59">
        <f>COUNT($BQ$4:$BQ276) / COUNT($BQ$4:$BQ$292)</f>
        <v>0.94463667820069208</v>
      </c>
    </row>
    <row r="277" spans="64:70" x14ac:dyDescent="0.25">
      <c r="BL277" s="3">
        <v>2010</v>
      </c>
      <c r="BM277" s="3" t="s">
        <v>312</v>
      </c>
      <c r="BN277" s="3" t="s">
        <v>92</v>
      </c>
      <c r="BO277" s="3" t="s">
        <v>36</v>
      </c>
      <c r="BP277" s="3" t="s">
        <v>37</v>
      </c>
      <c r="BQ277" s="54">
        <v>258885559</v>
      </c>
      <c r="BR277" s="59">
        <f>COUNT($BQ$4:$BQ277) / COUNT($BQ$4:$BQ$292)</f>
        <v>0.94809688581314877</v>
      </c>
    </row>
    <row r="278" spans="64:70" x14ac:dyDescent="0.25">
      <c r="BL278" s="3">
        <v>2010</v>
      </c>
      <c r="BM278" s="3" t="s">
        <v>311</v>
      </c>
      <c r="BN278" s="3" t="s">
        <v>92</v>
      </c>
      <c r="BO278" s="3" t="s">
        <v>36</v>
      </c>
      <c r="BP278" s="3" t="s">
        <v>37</v>
      </c>
      <c r="BQ278" s="54">
        <v>258885559</v>
      </c>
      <c r="BR278" s="59">
        <f>COUNT($BQ$4:$BQ278) / COUNT($BQ$4:$BQ$292)</f>
        <v>0.95155709342560557</v>
      </c>
    </row>
    <row r="279" spans="64:70" x14ac:dyDescent="0.25">
      <c r="BL279" s="3">
        <v>2010</v>
      </c>
      <c r="BM279" s="3" t="s">
        <v>313</v>
      </c>
      <c r="BN279" s="3" t="s">
        <v>92</v>
      </c>
      <c r="BO279" s="3" t="s">
        <v>36</v>
      </c>
      <c r="BP279" s="3" t="s">
        <v>37</v>
      </c>
      <c r="BQ279" s="54">
        <v>258885559</v>
      </c>
      <c r="BR279" s="59">
        <f>COUNT($BQ$4:$BQ279) / COUNT($BQ$4:$BQ$292)</f>
        <v>0.95501730103806226</v>
      </c>
    </row>
    <row r="280" spans="64:70" x14ac:dyDescent="0.25">
      <c r="BL280" s="3">
        <v>2010</v>
      </c>
      <c r="BM280" s="3" t="s">
        <v>341</v>
      </c>
      <c r="BN280" s="3" t="s">
        <v>92</v>
      </c>
      <c r="BO280" s="3" t="s">
        <v>36</v>
      </c>
      <c r="BP280" s="3" t="s">
        <v>37</v>
      </c>
      <c r="BQ280" s="54">
        <v>258885559</v>
      </c>
      <c r="BR280" s="59">
        <f>COUNT($BQ$4:$BQ280) / COUNT($BQ$4:$BQ$292)</f>
        <v>0.95847750865051906</v>
      </c>
    </row>
    <row r="281" spans="64:70" x14ac:dyDescent="0.25">
      <c r="BL281" s="3">
        <v>2010</v>
      </c>
      <c r="BM281" s="3" t="s">
        <v>323</v>
      </c>
      <c r="BN281" s="3" t="s">
        <v>92</v>
      </c>
      <c r="BO281" s="3" t="s">
        <v>36</v>
      </c>
      <c r="BP281" s="3" t="s">
        <v>37</v>
      </c>
      <c r="BQ281" s="54">
        <v>258885559</v>
      </c>
      <c r="BR281" s="59">
        <f>COUNT($BQ$4:$BQ281) / COUNT($BQ$4:$BQ$292)</f>
        <v>0.96193771626297575</v>
      </c>
    </row>
    <row r="282" spans="64:70" x14ac:dyDescent="0.25">
      <c r="BL282" s="3">
        <v>2013</v>
      </c>
      <c r="BM282" s="3" t="s">
        <v>242</v>
      </c>
      <c r="BN282" s="3" t="s">
        <v>7</v>
      </c>
      <c r="BO282" s="3" t="s">
        <v>54</v>
      </c>
      <c r="BP282" s="3" t="s">
        <v>243</v>
      </c>
      <c r="BQ282" s="54">
        <v>272097967</v>
      </c>
      <c r="BR282" s="59">
        <f>COUNT($BQ$4:$BQ282) / COUNT($BQ$4:$BQ$292)</f>
        <v>0.96539792387543255</v>
      </c>
    </row>
    <row r="283" spans="64:70" x14ac:dyDescent="0.25">
      <c r="BL283" s="3">
        <v>2011</v>
      </c>
      <c r="BM283" s="3" t="s">
        <v>288</v>
      </c>
      <c r="BN283" s="3" t="s">
        <v>155</v>
      </c>
      <c r="BO283" s="3" t="s">
        <v>40</v>
      </c>
      <c r="BP283" s="3" t="s">
        <v>43</v>
      </c>
      <c r="BQ283" s="54">
        <v>296151018</v>
      </c>
      <c r="BR283" s="59">
        <f>COUNT($BQ$4:$BQ283) / COUNT($BQ$4:$BQ$292)</f>
        <v>0.96885813148788924</v>
      </c>
    </row>
    <row r="284" spans="64:70" x14ac:dyDescent="0.25">
      <c r="BL284" s="3">
        <v>2014</v>
      </c>
      <c r="BM284" s="3" t="s">
        <v>202</v>
      </c>
      <c r="BN284" s="3" t="s">
        <v>92</v>
      </c>
      <c r="BO284" s="3" t="s">
        <v>64</v>
      </c>
      <c r="BP284" s="3" t="s">
        <v>203</v>
      </c>
      <c r="BQ284" s="54">
        <v>347262786</v>
      </c>
      <c r="BR284" s="59">
        <f>COUNT($BQ$4:$BQ284) / COUNT($BQ$4:$BQ$292)</f>
        <v>0.97231833910034604</v>
      </c>
    </row>
    <row r="285" spans="64:70" x14ac:dyDescent="0.25">
      <c r="BL285" s="3">
        <v>2011</v>
      </c>
      <c r="BM285" s="3" t="s">
        <v>295</v>
      </c>
      <c r="BN285" s="3" t="s">
        <v>92</v>
      </c>
      <c r="BO285" s="3" t="s">
        <v>36</v>
      </c>
      <c r="BP285" s="3" t="s">
        <v>81</v>
      </c>
      <c r="BQ285" s="54">
        <v>363893537</v>
      </c>
      <c r="BR285" s="59">
        <f>COUNT($BQ$4:$BQ285) / COUNT($BQ$4:$BQ$292)</f>
        <v>0.97577854671280273</v>
      </c>
    </row>
    <row r="286" spans="64:70" x14ac:dyDescent="0.25">
      <c r="BL286" s="3">
        <v>2014</v>
      </c>
      <c r="BM286" s="3" t="s">
        <v>199</v>
      </c>
      <c r="BN286" s="3" t="s">
        <v>7</v>
      </c>
      <c r="BO286" s="3" t="s">
        <v>32</v>
      </c>
      <c r="BP286" s="3" t="s">
        <v>33</v>
      </c>
      <c r="BQ286" s="54">
        <v>380801540</v>
      </c>
      <c r="BR286" s="59">
        <f>COUNT($BQ$4:$BQ286) / COUNT($BQ$4:$BQ$292)</f>
        <v>0.97923875432525953</v>
      </c>
    </row>
    <row r="287" spans="64:70" x14ac:dyDescent="0.25">
      <c r="BL287" s="3">
        <v>2015</v>
      </c>
      <c r="BM287" s="3" t="s">
        <v>185</v>
      </c>
      <c r="BN287" s="3" t="s">
        <v>7</v>
      </c>
      <c r="BO287" s="3" t="s">
        <v>36</v>
      </c>
      <c r="BP287" s="3" t="s">
        <v>98</v>
      </c>
      <c r="BQ287" s="54">
        <v>387010354</v>
      </c>
      <c r="BR287" s="59">
        <f>COUNT($BQ$4:$BQ287) / COUNT($BQ$4:$BQ$292)</f>
        <v>0.98269896193771622</v>
      </c>
    </row>
    <row r="288" spans="64:70" x14ac:dyDescent="0.25">
      <c r="BL288" s="3">
        <v>2013</v>
      </c>
      <c r="BM288" s="3" t="s">
        <v>232</v>
      </c>
      <c r="BN288" s="3" t="s">
        <v>7</v>
      </c>
      <c r="BO288" s="3" t="s">
        <v>233</v>
      </c>
      <c r="BP288" s="3" t="s">
        <v>234</v>
      </c>
      <c r="BQ288" s="54">
        <v>397522506</v>
      </c>
      <c r="BR288" s="59">
        <f>COUNT($BQ$4:$BQ288) / COUNT($BQ$4:$BQ$292)</f>
        <v>0.98615916955017302</v>
      </c>
    </row>
    <row r="289" spans="64:72" x14ac:dyDescent="0.25">
      <c r="BL289" s="30">
        <v>2020</v>
      </c>
      <c r="BM289" s="30" t="s">
        <v>1305</v>
      </c>
      <c r="BN289" s="30" t="s">
        <v>7</v>
      </c>
      <c r="BO289" s="30" t="s">
        <v>36</v>
      </c>
      <c r="BP289" s="30" t="s">
        <v>1306</v>
      </c>
      <c r="BQ289" s="54">
        <v>447169342</v>
      </c>
      <c r="BR289" s="59">
        <f>COUNT($BQ$4:$BQ289) / COUNT($BQ$4:$BQ$292)</f>
        <v>0.98961937716262971</v>
      </c>
    </row>
    <row r="290" spans="64:72" x14ac:dyDescent="0.25">
      <c r="BL290" s="30">
        <v>2020</v>
      </c>
      <c r="BM290" s="30" t="s">
        <v>1312</v>
      </c>
      <c r="BN290" s="30" t="s">
        <v>7</v>
      </c>
      <c r="BO290" s="30" t="s">
        <v>32</v>
      </c>
      <c r="BP290" s="30" t="s">
        <v>33</v>
      </c>
      <c r="BQ290" s="54">
        <v>811668151</v>
      </c>
      <c r="BR290" s="59">
        <f>COUNT($BQ$4:$BQ290) / COUNT($BQ$4:$BQ$292)</f>
        <v>0.99307958477508651</v>
      </c>
    </row>
    <row r="291" spans="64:72" x14ac:dyDescent="0.25">
      <c r="BL291" s="30">
        <v>2020</v>
      </c>
      <c r="BM291" s="30" t="s">
        <v>1310</v>
      </c>
      <c r="BN291" s="30" t="s">
        <v>7</v>
      </c>
      <c r="BO291" s="30" t="s">
        <v>233</v>
      </c>
      <c r="BP291" s="30" t="s">
        <v>234</v>
      </c>
      <c r="BQ291" s="54">
        <v>1087991160</v>
      </c>
      <c r="BR291" s="59">
        <f>COUNT($BQ$4:$BQ291) / COUNT($BQ$4:$BQ$292)</f>
        <v>0.9965397923875432</v>
      </c>
    </row>
    <row r="292" spans="64:72" x14ac:dyDescent="0.25">
      <c r="BL292" s="3">
        <v>2011</v>
      </c>
      <c r="BM292" s="3" t="s">
        <v>281</v>
      </c>
      <c r="BN292" s="3" t="s">
        <v>155</v>
      </c>
      <c r="BO292" s="3" t="s">
        <v>54</v>
      </c>
      <c r="BP292" s="3" t="s">
        <v>243</v>
      </c>
      <c r="BQ292" s="54">
        <v>3936302030</v>
      </c>
      <c r="BR292" s="59">
        <f>COUNT($BQ$4:$BQ292) / COUNT($BQ$4:$BQ$292)</f>
        <v>1</v>
      </c>
    </row>
    <row r="294" spans="64:72" x14ac:dyDescent="0.25">
      <c r="BP294" t="s">
        <v>2408</v>
      </c>
      <c r="BQ294" s="47">
        <f>AVERAGE(BQ4:BQ292)</f>
        <v>61832464.875432529</v>
      </c>
    </row>
    <row r="295" spans="64:72" x14ac:dyDescent="0.25">
      <c r="BP295" t="s">
        <v>2409</v>
      </c>
      <c r="BQ295" s="47">
        <f>MEDIAN(BQ4:BQ292)</f>
        <v>15173075</v>
      </c>
    </row>
    <row r="296" spans="64:72" x14ac:dyDescent="0.25">
      <c r="BP296" t="s">
        <v>2410</v>
      </c>
      <c r="BQ296" s="47">
        <f>_xlfn.STDEV.S(BQ4:BQ292)</f>
        <v>252379848.92025596</v>
      </c>
    </row>
    <row r="297" spans="64:72" x14ac:dyDescent="0.25">
      <c r="BP297" s="62" t="s">
        <v>2419</v>
      </c>
      <c r="BQ297" s="62" t="s">
        <v>2412</v>
      </c>
      <c r="BR297" s="62" t="s">
        <v>2418</v>
      </c>
      <c r="BS297" s="62" t="s">
        <v>1623</v>
      </c>
      <c r="BT297" s="62" t="s">
        <v>2411</v>
      </c>
    </row>
    <row r="298" spans="64:72" x14ac:dyDescent="0.25">
      <c r="BP298" s="60">
        <v>1</v>
      </c>
      <c r="BQ298" s="60">
        <v>1</v>
      </c>
      <c r="BR298" s="60">
        <f>BQ299</f>
        <v>2000000</v>
      </c>
      <c r="BS298" s="26" cm="1">
        <f t="array" ref="BS298:BS307">FREQUENCY(BQ4:BQ292,BQ299:BQ307)</f>
        <v>34</v>
      </c>
      <c r="BT298" s="61">
        <f>BS298 / SUM($BS$298:$BS$307)</f>
        <v>0.11764705882352941</v>
      </c>
    </row>
    <row r="299" spans="64:72" x14ac:dyDescent="0.25">
      <c r="BP299" s="60">
        <v>2</v>
      </c>
      <c r="BQ299" s="60">
        <v>2000000</v>
      </c>
      <c r="BR299" s="60">
        <f t="shared" ref="BR299:BR306" si="2">BQ300</f>
        <v>5000000</v>
      </c>
      <c r="BS299" s="26">
        <v>23</v>
      </c>
      <c r="BT299" s="61">
        <f t="shared" ref="BT299:BT307" si="3">BS299 / SUM($BS$298:$BS$307)</f>
        <v>7.9584775086505188E-2</v>
      </c>
    </row>
    <row r="300" spans="64:72" x14ac:dyDescent="0.25">
      <c r="BP300" s="60">
        <v>3</v>
      </c>
      <c r="BQ300" s="60">
        <v>5000000</v>
      </c>
      <c r="BR300" s="60">
        <f t="shared" si="2"/>
        <v>7500000</v>
      </c>
      <c r="BS300" s="26">
        <v>24</v>
      </c>
      <c r="BT300" s="61">
        <f t="shared" si="3"/>
        <v>8.3044982698961933E-2</v>
      </c>
    </row>
    <row r="301" spans="64:72" x14ac:dyDescent="0.25">
      <c r="BP301" s="60">
        <v>4</v>
      </c>
      <c r="BQ301" s="60">
        <v>7500000</v>
      </c>
      <c r="BR301" s="60">
        <f t="shared" si="2"/>
        <v>10000000</v>
      </c>
      <c r="BS301" s="26">
        <v>27</v>
      </c>
      <c r="BT301" s="61">
        <f t="shared" si="3"/>
        <v>9.3425605536332182E-2</v>
      </c>
    </row>
    <row r="302" spans="64:72" x14ac:dyDescent="0.25">
      <c r="BP302" s="60">
        <v>5</v>
      </c>
      <c r="BQ302" s="60">
        <v>10000000</v>
      </c>
      <c r="BR302" s="60">
        <f t="shared" si="2"/>
        <v>15000000</v>
      </c>
      <c r="BS302" s="26">
        <v>36</v>
      </c>
      <c r="BT302" s="61">
        <f t="shared" si="3"/>
        <v>0.1245674740484429</v>
      </c>
    </row>
    <row r="303" spans="64:72" x14ac:dyDescent="0.25">
      <c r="BP303" s="60">
        <v>6</v>
      </c>
      <c r="BQ303" s="60">
        <v>15000000</v>
      </c>
      <c r="BR303" s="60">
        <f t="shared" si="2"/>
        <v>20000000</v>
      </c>
      <c r="BS303" s="26">
        <v>27</v>
      </c>
      <c r="BT303" s="61">
        <f t="shared" si="3"/>
        <v>9.3425605536332182E-2</v>
      </c>
    </row>
    <row r="304" spans="64:72" x14ac:dyDescent="0.25">
      <c r="BP304" s="60">
        <v>7</v>
      </c>
      <c r="BQ304" s="60">
        <v>20000000</v>
      </c>
      <c r="BR304" s="60">
        <f t="shared" si="2"/>
        <v>30000000</v>
      </c>
      <c r="BS304" s="26">
        <v>25</v>
      </c>
      <c r="BT304" s="61">
        <f t="shared" si="3"/>
        <v>8.6505190311418678E-2</v>
      </c>
    </row>
    <row r="305" spans="68:72" x14ac:dyDescent="0.25">
      <c r="BP305" s="60">
        <v>8</v>
      </c>
      <c r="BQ305" s="60">
        <v>30000000</v>
      </c>
      <c r="BR305" s="60">
        <f t="shared" si="2"/>
        <v>50000000</v>
      </c>
      <c r="BS305" s="26">
        <v>35</v>
      </c>
      <c r="BT305" s="61">
        <f t="shared" si="3"/>
        <v>0.12110726643598616</v>
      </c>
    </row>
    <row r="306" spans="68:72" x14ac:dyDescent="0.25">
      <c r="BP306" s="60">
        <v>9</v>
      </c>
      <c r="BQ306" s="60">
        <v>50000000</v>
      </c>
      <c r="BR306" s="60">
        <f t="shared" si="2"/>
        <v>100000000</v>
      </c>
      <c r="BS306" s="26">
        <v>26</v>
      </c>
      <c r="BT306" s="61">
        <f t="shared" si="3"/>
        <v>8.9965397923875437E-2</v>
      </c>
    </row>
    <row r="307" spans="68:72" x14ac:dyDescent="0.25">
      <c r="BP307" s="60">
        <v>10</v>
      </c>
      <c r="BQ307" s="60">
        <v>100000000</v>
      </c>
      <c r="BR307" s="60"/>
      <c r="BS307" s="26">
        <v>32</v>
      </c>
      <c r="BT307" s="61">
        <f t="shared" si="3"/>
        <v>0.11072664359861592</v>
      </c>
    </row>
    <row r="309" spans="68:72" x14ac:dyDescent="0.25">
      <c r="BP309" t="s">
        <v>2420</v>
      </c>
    </row>
  </sheetData>
  <sortState xmlns:xlrd2="http://schemas.microsoft.com/office/spreadsheetml/2017/richdata2" ref="BL4:BQ292">
    <sortCondition ref="BQ4:BQ292"/>
    <sortCondition descending="1" ref="BL4:BL292"/>
    <sortCondition ref="BM4:BM292"/>
  </sortState>
  <hyperlinks>
    <hyperlink ref="Y1" r:id="rId1" xr:uid="{2B3515F6-7BA2-483C-A233-BA5CAF9E0B2D}"/>
    <hyperlink ref="AQ1" r:id="rId2" xr:uid="{E1717206-D9E6-4D54-AB8D-77810877B045}"/>
    <hyperlink ref="BI29" r:id="rId3" xr:uid="{CD8CF1D3-1E47-4C95-9A95-B6BCF06C2C8B}"/>
    <hyperlink ref="BI28" r:id="rId4" xr:uid="{C6CFA1B6-5376-4AD2-94D5-72E45FA9EA7A}"/>
  </hyperlinks>
  <pageMargins left="0.7" right="0.7" top="0.75" bottom="0.75" header="0.3" footer="0.3"/>
  <drawing r:id="rId5"/>
  <tableParts count="1">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AB66C-393F-481B-84C2-D7667AFF4C77}">
  <dimension ref="A2:E48"/>
  <sheetViews>
    <sheetView zoomScale="80" zoomScaleNormal="80" workbookViewId="0">
      <pane xSplit="2" ySplit="2" topLeftCell="C18" activePane="bottomRight" state="frozen"/>
      <selection pane="topRight" activeCell="C1" sqref="C1"/>
      <selection pane="bottomLeft" activeCell="A3" sqref="A3"/>
      <selection pane="bottomRight" activeCell="A2" sqref="A2:D33"/>
    </sheetView>
  </sheetViews>
  <sheetFormatPr baseColWidth="10" defaultColWidth="10.85546875" defaultRowHeight="15" x14ac:dyDescent="0.25"/>
  <cols>
    <col min="1" max="1" width="10.85546875" style="72"/>
    <col min="2" max="2" width="33" style="72" customWidth="1"/>
    <col min="3" max="3" width="16.140625" style="77" customWidth="1"/>
    <col min="4" max="4" width="65.140625" style="74" customWidth="1"/>
    <col min="6" max="16384" width="10.85546875" style="72"/>
  </cols>
  <sheetData>
    <row r="2" spans="1:5" x14ac:dyDescent="0.25">
      <c r="B2" s="72" t="s">
        <v>2431</v>
      </c>
      <c r="C2" s="77" t="s">
        <v>2432</v>
      </c>
      <c r="D2" s="74" t="s">
        <v>1316</v>
      </c>
    </row>
    <row r="3" spans="1:5" ht="84" x14ac:dyDescent="0.25">
      <c r="A3" s="72">
        <v>1</v>
      </c>
      <c r="B3" s="73" t="s">
        <v>2430</v>
      </c>
      <c r="C3" s="78"/>
      <c r="D3" s="75" t="s">
        <v>2465</v>
      </c>
    </row>
    <row r="4" spans="1:5" ht="108" x14ac:dyDescent="0.25">
      <c r="A4" s="72">
        <v>2</v>
      </c>
      <c r="B4" s="73" t="s">
        <v>2447</v>
      </c>
      <c r="C4" s="78"/>
      <c r="D4" s="75" t="s">
        <v>2448</v>
      </c>
    </row>
    <row r="5" spans="1:5" ht="48" x14ac:dyDescent="0.25">
      <c r="A5" s="72">
        <v>3</v>
      </c>
      <c r="B5" s="73" t="s">
        <v>2433</v>
      </c>
      <c r="C5" s="78" t="s">
        <v>2434</v>
      </c>
      <c r="D5" s="75" t="s">
        <v>2437</v>
      </c>
    </row>
    <row r="6" spans="1:5" ht="123.6" customHeight="1" x14ac:dyDescent="0.25">
      <c r="A6" s="72">
        <v>4</v>
      </c>
      <c r="B6" s="73" t="s">
        <v>2484</v>
      </c>
      <c r="C6" s="78" t="s">
        <v>92</v>
      </c>
      <c r="D6" s="76" t="s">
        <v>2477</v>
      </c>
    </row>
    <row r="7" spans="1:5" ht="82.5" customHeight="1" x14ac:dyDescent="0.25">
      <c r="A7" s="72">
        <v>5</v>
      </c>
      <c r="B7" s="73" t="s">
        <v>2485</v>
      </c>
      <c r="C7" s="78" t="s">
        <v>155</v>
      </c>
      <c r="D7" s="75" t="s">
        <v>2440</v>
      </c>
    </row>
    <row r="8" spans="1:5" ht="92.45" customHeight="1" x14ac:dyDescent="0.25">
      <c r="A8" s="72">
        <v>6</v>
      </c>
      <c r="B8" s="73" t="s">
        <v>2486</v>
      </c>
      <c r="C8" s="78" t="s">
        <v>7</v>
      </c>
      <c r="D8" s="75" t="s">
        <v>2471</v>
      </c>
    </row>
    <row r="9" spans="1:5" ht="60" x14ac:dyDescent="0.25">
      <c r="A9" s="72">
        <v>7</v>
      </c>
      <c r="B9" s="73" t="s">
        <v>2487</v>
      </c>
      <c r="C9" s="78" t="s">
        <v>67</v>
      </c>
      <c r="D9" s="75" t="s">
        <v>2441</v>
      </c>
    </row>
    <row r="10" spans="1:5" ht="91.5" customHeight="1" x14ac:dyDescent="0.25">
      <c r="A10" s="72">
        <v>8</v>
      </c>
      <c r="B10" s="73" t="s">
        <v>2488</v>
      </c>
      <c r="C10" s="78" t="s">
        <v>283</v>
      </c>
      <c r="D10" s="75" t="s">
        <v>2452</v>
      </c>
      <c r="E10" s="72"/>
    </row>
    <row r="11" spans="1:5" ht="65.25" customHeight="1" x14ac:dyDescent="0.25">
      <c r="A11" s="72">
        <v>10</v>
      </c>
      <c r="B11" s="73" t="s">
        <v>351</v>
      </c>
      <c r="C11" s="78"/>
      <c r="D11" s="75" t="s">
        <v>2466</v>
      </c>
      <c r="E11" s="72"/>
    </row>
    <row r="12" spans="1:5" ht="72" x14ac:dyDescent="0.25">
      <c r="A12" s="72">
        <v>11</v>
      </c>
      <c r="B12" s="73" t="s">
        <v>329</v>
      </c>
      <c r="C12" s="78"/>
      <c r="D12" s="75" t="s">
        <v>2467</v>
      </c>
      <c r="E12" s="72"/>
    </row>
    <row r="13" spans="1:5" ht="75" customHeight="1" x14ac:dyDescent="0.25">
      <c r="A13" s="72">
        <v>12</v>
      </c>
      <c r="B13" s="73" t="s">
        <v>310</v>
      </c>
      <c r="C13" s="78"/>
      <c r="D13" s="75" t="s">
        <v>2468</v>
      </c>
      <c r="E13" s="72"/>
    </row>
    <row r="14" spans="1:5" ht="48" x14ac:dyDescent="0.25">
      <c r="A14" s="72">
        <v>13</v>
      </c>
      <c r="B14" s="73" t="s">
        <v>399</v>
      </c>
      <c r="C14" s="78"/>
      <c r="D14" s="75" t="s">
        <v>2470</v>
      </c>
      <c r="E14" s="72"/>
    </row>
    <row r="15" spans="1:5" ht="92.25" customHeight="1" x14ac:dyDescent="0.25">
      <c r="A15" s="72">
        <v>14</v>
      </c>
      <c r="B15" s="73" t="s">
        <v>2483</v>
      </c>
      <c r="C15" s="78"/>
      <c r="D15" s="75" t="s">
        <v>2469</v>
      </c>
      <c r="E15" s="72"/>
    </row>
    <row r="16" spans="1:5" ht="54" customHeight="1" x14ac:dyDescent="0.25">
      <c r="A16" s="72">
        <v>15</v>
      </c>
      <c r="B16" s="73" t="s">
        <v>95</v>
      </c>
      <c r="C16" s="78"/>
      <c r="D16" s="75" t="s">
        <v>2480</v>
      </c>
      <c r="E16" s="72"/>
    </row>
    <row r="17" spans="1:5" ht="54" customHeight="1" x14ac:dyDescent="0.25">
      <c r="A17" s="72">
        <v>16</v>
      </c>
      <c r="B17" s="73" t="s">
        <v>89</v>
      </c>
      <c r="C17" s="78"/>
      <c r="D17" s="75" t="s">
        <v>2453</v>
      </c>
      <c r="E17" s="72"/>
    </row>
    <row r="18" spans="1:5" ht="57" customHeight="1" x14ac:dyDescent="0.25">
      <c r="A18" s="72">
        <v>17</v>
      </c>
      <c r="B18" s="73" t="s">
        <v>194</v>
      </c>
      <c r="C18" s="78"/>
      <c r="D18" s="75" t="s">
        <v>2479</v>
      </c>
      <c r="E18" s="72"/>
    </row>
    <row r="19" spans="1:5" ht="60" customHeight="1" x14ac:dyDescent="0.25">
      <c r="A19" s="72">
        <v>18</v>
      </c>
      <c r="B19" s="82" t="s">
        <v>2436</v>
      </c>
      <c r="C19" s="83"/>
      <c r="D19" s="84" t="s">
        <v>2435</v>
      </c>
      <c r="E19" s="72"/>
    </row>
    <row r="20" spans="1:5" ht="48" x14ac:dyDescent="0.25">
      <c r="A20" s="72">
        <v>19</v>
      </c>
      <c r="B20" s="82" t="s">
        <v>30</v>
      </c>
      <c r="C20" s="83" t="s">
        <v>2443</v>
      </c>
      <c r="D20" s="84" t="s">
        <v>2444</v>
      </c>
      <c r="E20" s="72"/>
    </row>
    <row r="21" spans="1:5" ht="84" x14ac:dyDescent="0.25">
      <c r="A21" s="72">
        <v>20</v>
      </c>
      <c r="B21" s="82" t="s">
        <v>10</v>
      </c>
      <c r="C21" s="83"/>
      <c r="D21" s="84" t="s">
        <v>2450</v>
      </c>
      <c r="E21" s="72"/>
    </row>
    <row r="22" spans="1:5" ht="84" x14ac:dyDescent="0.25">
      <c r="A22" s="72">
        <v>21</v>
      </c>
      <c r="B22" s="82" t="s">
        <v>27</v>
      </c>
      <c r="C22" s="83" t="s">
        <v>2445</v>
      </c>
      <c r="D22" s="84" t="s">
        <v>2451</v>
      </c>
      <c r="E22" s="72"/>
    </row>
    <row r="23" spans="1:5" ht="54.6" customHeight="1" x14ac:dyDescent="0.25">
      <c r="A23" s="72">
        <v>22</v>
      </c>
      <c r="B23" s="82" t="s">
        <v>2481</v>
      </c>
      <c r="C23" s="83" t="s">
        <v>2446</v>
      </c>
      <c r="D23" s="84" t="s">
        <v>2482</v>
      </c>
      <c r="E23" s="72"/>
    </row>
    <row r="24" spans="1:5" ht="36" x14ac:dyDescent="0.25">
      <c r="A24" s="72">
        <v>23</v>
      </c>
      <c r="B24" s="73" t="s">
        <v>2478</v>
      </c>
      <c r="C24" s="78"/>
      <c r="D24" s="75" t="s">
        <v>2454</v>
      </c>
      <c r="E24" s="72"/>
    </row>
    <row r="25" spans="1:5" ht="72" x14ac:dyDescent="0.25">
      <c r="A25" s="72">
        <v>24</v>
      </c>
      <c r="B25" s="73" t="s">
        <v>2439</v>
      </c>
      <c r="C25" s="78" t="s">
        <v>2438</v>
      </c>
      <c r="D25" s="75" t="s">
        <v>2464</v>
      </c>
      <c r="E25" s="72"/>
    </row>
    <row r="26" spans="1:5" ht="52.5" customHeight="1" x14ac:dyDescent="0.25">
      <c r="A26" s="72">
        <v>25</v>
      </c>
      <c r="B26" s="73" t="s">
        <v>2489</v>
      </c>
      <c r="C26" s="78"/>
      <c r="D26" s="75" t="s">
        <v>2442</v>
      </c>
      <c r="E26" s="72"/>
    </row>
    <row r="27" spans="1:5" ht="12.75" x14ac:dyDescent="0.25">
      <c r="A27" s="72">
        <v>26</v>
      </c>
      <c r="B27" s="73" t="str">
        <f>fuentes!B2</f>
        <v>Año de protocolo</v>
      </c>
      <c r="D27" s="75" t="str">
        <f>fuentes!C2</f>
        <v>Año en que se realizó la evaluación.</v>
      </c>
      <c r="E27" s="72"/>
    </row>
    <row r="28" spans="1:5" ht="12.75" x14ac:dyDescent="0.25">
      <c r="A28" s="72">
        <v>27</v>
      </c>
      <c r="B28" s="73" t="str">
        <f>fuentes!B3</f>
        <v>Programa / Institución</v>
      </c>
      <c r="D28" s="75" t="str">
        <f>fuentes!C3</f>
        <v>Programa o Institución evaluado(a).</v>
      </c>
      <c r="E28" s="72"/>
    </row>
    <row r="29" spans="1:5" ht="12.75" x14ac:dyDescent="0.25">
      <c r="A29" s="72">
        <v>28</v>
      </c>
      <c r="B29" s="73" t="str">
        <f>fuentes!B10</f>
        <v>Ministerio</v>
      </c>
      <c r="D29" s="75" t="str">
        <f>fuentes!C10</f>
        <v>Ministerio responsable del programa evaluado.</v>
      </c>
      <c r="E29" s="72"/>
    </row>
    <row r="30" spans="1:5" ht="12.75" x14ac:dyDescent="0.25">
      <c r="A30" s="72">
        <v>29</v>
      </c>
      <c r="B30" s="73" t="str">
        <f>fuentes!B11</f>
        <v>Servicio público</v>
      </c>
      <c r="D30" s="75" t="str">
        <f>fuentes!C11</f>
        <v>Unidad administrativa responsable del programa evaluado.</v>
      </c>
      <c r="E30" s="72"/>
    </row>
    <row r="31" spans="1:5" ht="12.75" x14ac:dyDescent="0.25">
      <c r="A31" s="72">
        <v>30</v>
      </c>
      <c r="B31" s="73" t="str">
        <f>fuentes!B13</f>
        <v>Está Vigente</v>
      </c>
      <c r="D31" s="75" t="str">
        <f>fuentes!C13</f>
        <v>Indica si el programa está vigente al año 2020.</v>
      </c>
      <c r="E31" s="72"/>
    </row>
    <row r="32" spans="1:5" ht="12.75" x14ac:dyDescent="0.25">
      <c r="A32" s="72">
        <v>31</v>
      </c>
      <c r="B32" s="73" t="str">
        <f>fuentes!B14</f>
        <v>Fecha inicio</v>
      </c>
      <c r="D32" s="75" t="str">
        <f>fuentes!C14</f>
        <v>Fecha en que se inició el programa.</v>
      </c>
      <c r="E32" s="72"/>
    </row>
    <row r="33" spans="1:5" ht="12.75" x14ac:dyDescent="0.25">
      <c r="A33" s="72">
        <v>32</v>
      </c>
      <c r="B33" s="73" t="str">
        <f>fuentes!B15</f>
        <v>Fecha fin</v>
      </c>
      <c r="D33" s="75" t="str">
        <f>fuentes!C15</f>
        <v>Fecha en que se finalizó el programa.</v>
      </c>
      <c r="E33" s="72"/>
    </row>
    <row r="36" spans="1:5" ht="24" x14ac:dyDescent="0.25">
      <c r="A36" s="74" t="s">
        <v>1315</v>
      </c>
      <c r="B36" s="75" t="s">
        <v>2476</v>
      </c>
      <c r="C36" s="79" t="s">
        <v>2449</v>
      </c>
      <c r="E36" s="72"/>
    </row>
    <row r="37" spans="1:5" ht="84" x14ac:dyDescent="0.2">
      <c r="A37" s="74" t="s">
        <v>1315</v>
      </c>
      <c r="B37" s="75" t="s">
        <v>2472</v>
      </c>
      <c r="C37" s="80" t="s">
        <v>2473</v>
      </c>
      <c r="E37" s="72"/>
    </row>
    <row r="38" spans="1:5" ht="48" x14ac:dyDescent="0.25">
      <c r="A38" s="74" t="s">
        <v>1315</v>
      </c>
      <c r="B38" s="75" t="s">
        <v>2474</v>
      </c>
      <c r="C38" s="81" t="s">
        <v>2475</v>
      </c>
      <c r="E38" s="72"/>
    </row>
    <row r="39" spans="1:5" ht="12.75" x14ac:dyDescent="0.25">
      <c r="C39" s="74"/>
      <c r="D39" s="72"/>
      <c r="E39" s="72"/>
    </row>
    <row r="40" spans="1:5" ht="12.75" x14ac:dyDescent="0.25">
      <c r="E40" s="72"/>
    </row>
    <row r="41" spans="1:5" ht="12.75" x14ac:dyDescent="0.25">
      <c r="E41" s="72"/>
    </row>
    <row r="42" spans="1:5" ht="12.75" x14ac:dyDescent="0.25">
      <c r="E42" s="72"/>
    </row>
    <row r="43" spans="1:5" ht="12.75" x14ac:dyDescent="0.25">
      <c r="E43" s="72"/>
    </row>
    <row r="44" spans="1:5" ht="12.75" x14ac:dyDescent="0.25">
      <c r="E44" s="72"/>
    </row>
    <row r="45" spans="1:5" ht="12.75" x14ac:dyDescent="0.25">
      <c r="E45" s="72"/>
    </row>
    <row r="46" spans="1:5" ht="12.75" x14ac:dyDescent="0.25">
      <c r="E46" s="72"/>
    </row>
    <row r="47" spans="1:5" ht="12.75" x14ac:dyDescent="0.25">
      <c r="E47" s="72"/>
    </row>
    <row r="48" spans="1:5" ht="12.75" x14ac:dyDescent="0.25">
      <c r="E48" s="72"/>
    </row>
  </sheetData>
  <sortState xmlns:xlrd2="http://schemas.microsoft.com/office/spreadsheetml/2017/richdata2" ref="F2:F631">
    <sortCondition ref="F2:F631"/>
  </sortState>
  <hyperlinks>
    <hyperlink ref="C36" r:id="rId1" xr:uid="{1E00F006-A446-40B1-B047-BB102E77F605}"/>
    <hyperlink ref="C37" r:id="rId2" xr:uid="{E1C51796-3DE5-4850-88EB-CF90BAD0EBFF}"/>
    <hyperlink ref="C38" r:id="rId3" xr:uid="{8D2DD88A-3E25-4D1B-9458-D910D66FE8EE}"/>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vt:i4>
      </vt:variant>
    </vt:vector>
  </HeadingPairs>
  <TitlesOfParts>
    <vt:vector size="10" baseType="lpstr">
      <vt:lpstr>dataeval</vt:lpstr>
      <vt:lpstr>Notas reunion</vt:lpstr>
      <vt:lpstr>fuentes</vt:lpstr>
      <vt:lpstr>Deflactor</vt:lpstr>
      <vt:lpstr>Glosario</vt:lpstr>
      <vt:lpstr>fuentes!Área_de_extracción</vt:lpstr>
      <vt:lpstr>Glosario!Área_de_extracción</vt:lpstr>
      <vt:lpstr>Categorias_de_Presupuesto</vt:lpstr>
      <vt:lpstr>fuentes!Criterios</vt:lpstr>
      <vt:lpstr>Glosario!Criterios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Rodríguez Acevedo</dc:creator>
  <cp:lastModifiedBy>Reyes Rodríguez Acevedo</cp:lastModifiedBy>
  <dcterms:created xsi:type="dcterms:W3CDTF">2020-09-08T01:42:51Z</dcterms:created>
  <dcterms:modified xsi:type="dcterms:W3CDTF">2021-01-10T22:24:00Z</dcterms:modified>
</cp:coreProperties>
</file>