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0" documentId="8_{989AFD0C-FA63-42EF-82BD-CD9A2BEB4896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Casos" sheetId="2" r:id="rId1"/>
    <sheet name="Casos (2)" sheetId="7" r:id="rId2"/>
    <sheet name="Muertes" sheetId="4" r:id="rId3"/>
    <sheet name="Muertes (2)" sheetId="8" r:id="rId4"/>
    <sheet name="Recuperados" sheetId="5" r:id="rId5"/>
    <sheet name="Recuperados (2)" sheetId="9" r:id="rId6"/>
    <sheet name="LOCALIZA PN" sheetId="3" r:id="rId7"/>
  </sheets>
  <definedNames>
    <definedName name="_xlnm.Database">#REF!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3" i="7"/>
  <c r="C12" i="7"/>
  <c r="C11" i="7"/>
  <c r="C10" i="7"/>
  <c r="C9" i="7"/>
  <c r="C8" i="7"/>
  <c r="C7" i="7"/>
  <c r="C6" i="7"/>
  <c r="C5" i="7"/>
  <c r="C4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E714" i="5" l="1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4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F2" i="2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11" i="3"/>
</calcChain>
</file>

<file path=xl/sharedStrings.xml><?xml version="1.0" encoding="utf-8"?>
<sst xmlns="http://schemas.openxmlformats.org/spreadsheetml/2006/main" count="13204" uniqueCount="801">
  <si>
    <t>CD_Corr</t>
  </si>
  <si>
    <t>Provincia</t>
  </si>
  <si>
    <t>Distrito</t>
  </si>
  <si>
    <t>Corregimiento</t>
  </si>
  <si>
    <t>SUM Correg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</si>
  <si>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</si>
  <si>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</si>
  <si>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</si>
  <si>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</si>
  <si>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</si>
  <si>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</si>
  <si>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</si>
  <si>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</si>
  <si>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</si>
  <si>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</si>
  <si>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</si>
  <si>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</si>
  <si>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</si>
  <si>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</si>
  <si>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</si>
  <si>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</si>
  <si>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</si>
  <si>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</si>
  <si>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</si>
  <si>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</si>
  <si>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</si>
  <si>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</si>
  <si>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</si>
  <si>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</si>
  <si>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</si>
  <si>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</si>
  <si>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</si>
  <si>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</si>
  <si>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</si>
  <si>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</si>
  <si>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</si>
  <si>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</si>
  <si>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</si>
  <si>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</si>
  <si>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</si>
  <si>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</si>
  <si>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</si>
  <si>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</si>
  <si>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</si>
  <si>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</si>
  <si>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</si>
  <si>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</si>
  <si>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</si>
  <si>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</si>
  <si>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</si>
  <si>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</si>
  <si>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</si>
  <si>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</si>
  <si>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</si>
  <si>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</si>
  <si>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</si>
  <si>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</si>
  <si>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</si>
  <si>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</si>
  <si>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</si>
  <si>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</si>
  <si>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</si>
  <si>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</si>
  <si>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</si>
  <si>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</si>
  <si>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</si>
  <si>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</si>
  <si>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</si>
  <si>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</si>
  <si>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</si>
  <si>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</si>
  <si>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</si>
  <si>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</si>
  <si>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</si>
  <si>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</si>
  <si>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</si>
  <si>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</si>
  <si>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</si>
  <si>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</si>
  <si>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</si>
  <si>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</si>
  <si>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</si>
  <si>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</si>
  <si>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</si>
  <si>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</si>
  <si>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</si>
  <si>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</si>
  <si>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</si>
  <si>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</si>
  <si>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</si>
  <si>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</si>
  <si>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</si>
  <si>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</si>
  <si>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</si>
  <si>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</si>
  <si>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</si>
  <si>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</si>
  <si>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</si>
  <si>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</si>
  <si>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</si>
  <si>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</si>
  <si>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</si>
  <si>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</si>
  <si>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</si>
  <si>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</si>
  <si>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</si>
  <si>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</si>
  <si>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</si>
  <si>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</si>
  <si>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</si>
  <si>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</si>
  <si>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</si>
  <si>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</si>
  <si>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</si>
  <si>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</si>
  <si>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</si>
  <si>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</si>
  <si>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</si>
  <si>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</si>
  <si>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</si>
  <si>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</si>
  <si>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</si>
  <si>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</si>
  <si>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</si>
  <si>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</si>
  <si>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</si>
  <si>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</si>
  <si>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</si>
  <si>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</si>
  <si>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</si>
  <si>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</si>
  <si>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</si>
  <si>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</si>
  <si>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</si>
  <si>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</si>
  <si>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</si>
  <si>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</si>
  <si>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</si>
  <si>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</si>
  <si>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</si>
  <si>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</si>
  <si>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</si>
  <si>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</si>
  <si>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</si>
  <si>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</si>
  <si>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</si>
  <si>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</si>
  <si>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</si>
  <si>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</si>
  <si>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</si>
  <si>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</si>
  <si>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</si>
  <si>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</si>
  <si>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</si>
  <si>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</si>
  <si>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</si>
  <si>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</si>
  <si>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</si>
  <si>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</si>
  <si>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</si>
  <si>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</si>
  <si>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</si>
  <si>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</si>
  <si>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</si>
  <si>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</si>
  <si>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</si>
  <si>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</si>
  <si>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</si>
  <si>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</si>
  <si>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</si>
  <si>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</si>
  <si>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</si>
  <si>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</si>
  <si>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</si>
  <si>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</si>
  <si>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</si>
  <si>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</si>
  <si>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</si>
  <si>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</si>
  <si>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</si>
  <si>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</si>
  <si>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</si>
  <si>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</si>
  <si>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</si>
  <si>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</si>
  <si>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</si>
  <si>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</si>
  <si>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</si>
  <si>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</si>
  <si>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</si>
  <si>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</si>
  <si>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</si>
  <si>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</si>
  <si>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</si>
  <si>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</si>
  <si>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</si>
  <si>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</si>
  <si>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</si>
  <si>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</si>
  <si>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</si>
  <si>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</si>
  <si>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</si>
  <si>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</si>
  <si>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</si>
  <si>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</si>
  <si>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</si>
  <si>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</si>
  <si>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</si>
  <si>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</si>
  <si>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</si>
  <si>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</si>
  <si>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</si>
  <si>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</si>
  <si>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</si>
  <si>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</si>
  <si>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</si>
  <si>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</si>
  <si>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</si>
  <si>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</si>
  <si>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</si>
  <si>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</si>
  <si>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</si>
  <si>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</si>
  <si>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</si>
  <si>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</si>
  <si>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</si>
  <si>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</si>
  <si>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</si>
  <si>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</si>
  <si>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</si>
  <si>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</si>
  <si>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</si>
  <si>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</si>
  <si>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</si>
  <si>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</si>
  <si>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</si>
  <si>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</si>
  <si>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</si>
  <si>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</si>
  <si>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</si>
  <si>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</si>
  <si>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</si>
  <si>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</si>
  <si>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</si>
  <si>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</si>
  <si>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</si>
  <si>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</si>
  <si>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</si>
  <si>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</si>
  <si>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</si>
  <si>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</si>
  <si>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</si>
  <si>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</si>
  <si>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</si>
  <si>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</si>
  <si>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</si>
  <si>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</si>
  <si>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</si>
  <si>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</si>
  <si>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</si>
  <si>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</si>
  <si>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</si>
  <si>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</si>
  <si>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</si>
  <si>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</si>
  <si>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</si>
  <si>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</si>
  <si>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</si>
  <si>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</si>
  <si>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</si>
  <si>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</si>
  <si>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</si>
  <si>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</si>
  <si>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</si>
  <si>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</si>
  <si>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</si>
  <si>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</si>
  <si>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</si>
  <si>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</si>
  <si>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</si>
  <si>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</si>
  <si>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</si>
  <si>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</si>
  <si>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</si>
  <si>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</si>
  <si>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</si>
  <si>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</si>
  <si>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</si>
  <si>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</si>
  <si>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</si>
  <si>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</si>
  <si>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</si>
  <si>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</si>
  <si>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</si>
  <si>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</si>
  <si>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</si>
  <si>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</si>
  <si>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</si>
  <si>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</si>
  <si>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</si>
  <si>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</si>
  <si>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</si>
  <si>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</si>
  <si>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</si>
  <si>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</si>
  <si>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</si>
  <si>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</si>
  <si>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</si>
  <si>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</si>
  <si>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</si>
  <si>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</si>
  <si>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</si>
  <si>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</si>
  <si>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</si>
  <si>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</si>
  <si>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</si>
  <si>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</si>
  <si>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</si>
  <si>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</si>
  <si>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</si>
  <si>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</si>
  <si>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</si>
  <si>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</si>
  <si>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</si>
  <si>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</si>
  <si>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</si>
  <si>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</si>
  <si>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</si>
  <si>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</si>
  <si>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</si>
  <si>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</si>
  <si>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</si>
  <si>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</si>
  <si>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</si>
  <si>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</si>
  <si>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</si>
  <si>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</si>
  <si>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</si>
  <si>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</si>
  <si>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</si>
  <si>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</si>
  <si>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</si>
  <si>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</si>
  <si>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</si>
  <si>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</si>
  <si>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</si>
  <si>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</si>
  <si>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</si>
  <si>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</si>
  <si>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</si>
  <si>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</si>
  <si>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</si>
  <si>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</si>
  <si>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</si>
  <si>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</si>
  <si>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</si>
  <si>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</si>
  <si>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</si>
  <si>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</si>
  <si>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</si>
  <si>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</si>
  <si>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</si>
  <si>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</si>
  <si>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</si>
  <si>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</si>
  <si>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</si>
  <si>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</si>
  <si>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</si>
  <si>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</si>
  <si>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</si>
  <si>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</si>
  <si>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</si>
  <si>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</si>
  <si>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</si>
  <si>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</si>
  <si>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</si>
  <si>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</si>
  <si>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</si>
  <si>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</si>
  <si>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</si>
  <si>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</si>
  <si>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</si>
  <si>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</si>
  <si>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</si>
  <si>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</si>
  <si>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</si>
  <si>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</si>
  <si>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</si>
  <si>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</si>
  <si>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</si>
  <si>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</si>
  <si>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</si>
  <si>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</si>
  <si>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</si>
  <si>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</si>
  <si>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</si>
  <si>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</si>
  <si>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</si>
  <si>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</si>
  <si>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</si>
  <si>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</si>
  <si>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</si>
  <si>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</si>
  <si>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</si>
  <si>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</si>
  <si>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</si>
  <si>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</si>
  <si>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</si>
  <si>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</si>
  <si>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</si>
  <si>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</si>
  <si>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</si>
  <si>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</si>
  <si>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</si>
  <si>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</si>
  <si>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</si>
  <si>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</si>
  <si>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</si>
  <si>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</si>
  <si>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</si>
  <si>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</si>
  <si>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</si>
  <si>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</si>
  <si>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</si>
  <si>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</si>
  <si>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</si>
  <si>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</si>
  <si>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</si>
  <si>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</si>
  <si>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</si>
  <si>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</si>
  <si>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</si>
  <si>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</si>
  <si>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</si>
  <si>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</si>
  <si>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</si>
  <si>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</si>
  <si>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</si>
  <si>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</si>
  <si>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</si>
  <si>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</si>
  <si>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</si>
  <si>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</si>
  <si>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</si>
  <si>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</si>
  <si>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</si>
  <si>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</si>
  <si>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</si>
  <si>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</si>
  <si>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</si>
  <si>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</si>
  <si>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</si>
  <si>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</si>
  <si>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</si>
  <si>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</si>
  <si>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</si>
  <si>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</si>
  <si>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</si>
  <si>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</si>
  <si>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</si>
  <si>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</si>
  <si>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</si>
  <si>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</si>
  <si>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</si>
  <si>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</si>
  <si>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</si>
  <si>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</si>
  <si>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</si>
  <si>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</si>
  <si>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</si>
  <si>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</si>
  <si>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</si>
  <si>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</si>
  <si>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</si>
  <si>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</si>
  <si>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</si>
  <si>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</si>
  <si>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</si>
  <si>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</si>
  <si>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</si>
  <si>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</si>
  <si>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</si>
  <si>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</si>
  <si>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</si>
  <si>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</si>
  <si>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</si>
  <si>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</si>
  <si>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</si>
  <si>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</si>
  <si>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</si>
  <si>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</si>
  <si>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</si>
  <si>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</si>
  <si>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</si>
  <si>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</si>
  <si>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</si>
  <si>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</si>
  <si>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</si>
  <si>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</si>
  <si>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</si>
  <si>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</si>
  <si>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</si>
  <si>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</si>
  <si>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</si>
  <si>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</si>
  <si>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</si>
  <si>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</si>
  <si>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</si>
  <si>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</si>
  <si>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</si>
  <si>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</si>
  <si>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</si>
  <si>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</si>
  <si>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</si>
  <si>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</si>
  <si>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</si>
  <si>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</si>
  <si>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</si>
  <si>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</si>
  <si>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</si>
  <si>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</si>
  <si>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</si>
  <si>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</si>
  <si>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</si>
  <si>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</si>
  <si>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</si>
  <si>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</si>
  <si>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</si>
  <si>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</si>
  <si>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</si>
  <si>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</si>
  <si>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</si>
  <si>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</si>
  <si>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</si>
  <si>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</si>
  <si>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</si>
  <si>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</si>
  <si>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</si>
  <si>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</si>
  <si>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</si>
  <si>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</si>
  <si>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</si>
  <si>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</si>
  <si>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</si>
  <si>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</si>
  <si>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</si>
  <si>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</si>
  <si>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</si>
  <si>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</si>
  <si>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</si>
  <si>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</si>
  <si>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</si>
  <si>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</si>
  <si>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</si>
  <si>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</si>
  <si>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</si>
  <si>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</si>
  <si>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</si>
  <si>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</si>
  <si>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</si>
  <si>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</si>
  <si>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</si>
  <si>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</si>
  <si>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</si>
  <si>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</si>
  <si>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</si>
  <si>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</si>
  <si>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</si>
  <si>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</si>
  <si>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</si>
  <si>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</si>
  <si>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</si>
  <si>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</si>
  <si>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</si>
  <si>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</si>
  <si>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</si>
  <si>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</si>
  <si>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</si>
  <si>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</si>
  <si>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</si>
  <si>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</si>
  <si>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</si>
  <si>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</si>
  <si>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</si>
  <si>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</si>
  <si>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</si>
  <si>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</si>
  <si>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</si>
  <si>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</si>
  <si>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</si>
  <si>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</si>
  <si>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</si>
  <si>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</si>
  <si>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</si>
  <si>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</si>
  <si>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</si>
  <si>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</si>
  <si>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</si>
  <si>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</si>
  <si>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</si>
  <si>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</si>
  <si>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</si>
  <si>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</si>
  <si>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</si>
  <si>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</si>
  <si>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</si>
  <si>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</si>
  <si>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</si>
  <si>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</si>
  <si>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</si>
  <si>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</si>
  <si>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</si>
  <si>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</si>
  <si>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</si>
  <si>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</si>
  <si>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</si>
  <si>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</si>
  <si>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</si>
  <si>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</si>
  <si>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</si>
  <si>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</si>
  <si>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</si>
  <si>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</si>
  <si>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</si>
  <si>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</si>
  <si>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</si>
  <si>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</si>
  <si>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</si>
  <si>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</si>
  <si>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</si>
  <si>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</si>
  <si>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</si>
  <si>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</si>
  <si>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</si>
  <si>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</si>
  <si>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</si>
  <si>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</si>
  <si>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</si>
  <si>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</si>
  <si>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</si>
  <si>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</si>
  <si>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</si>
  <si>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</si>
  <si>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</si>
  <si>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</si>
  <si>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</si>
  <si>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</si>
  <si>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</si>
  <si>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</si>
  <si>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</si>
  <si>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</si>
  <si>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</si>
  <si>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</si>
  <si>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</si>
  <si>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</si>
  <si>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</si>
  <si>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</si>
  <si>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</si>
  <si>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</si>
  <si>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</si>
  <si>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</si>
  <si>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</si>
  <si>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</si>
  <si>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</si>
  <si>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</si>
  <si>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</si>
  <si>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</si>
  <si>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</si>
  <si>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</si>
  <si>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</si>
  <si>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</si>
  <si>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</si>
  <si>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</si>
  <si>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</si>
  <si>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</si>
  <si>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</si>
  <si>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</si>
  <si>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</si>
  <si>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</si>
  <si>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</si>
  <si>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</si>
  <si>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</si>
  <si>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</si>
  <si>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</si>
  <si>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</si>
  <si>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</si>
  <si>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</si>
  <si>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</si>
  <si>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</si>
  <si>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</si>
  <si>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</si>
  <si>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</si>
  <si>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</si>
  <si>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</si>
  <si>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</si>
  <si>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</si>
  <si>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</si>
  <si>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</si>
  <si>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</si>
  <si>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</si>
  <si>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</si>
  <si>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</si>
  <si>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</si>
  <si>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</si>
  <si>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</si>
  <si>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</si>
  <si>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</si>
  <si>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</si>
  <si>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</si>
  <si>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</si>
  <si>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</si>
  <si>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</si>
  <si>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</si>
  <si>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</si>
  <si>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</si>
  <si>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</si>
  <si>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</si>
  <si>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</si>
  <si>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</si>
  <si>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</si>
  <si>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</si>
  <si>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</si>
  <si>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</si>
  <si>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</si>
  <si>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</si>
  <si>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</si>
  <si>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</si>
  <si>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</si>
  <si>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</si>
  <si>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</si>
  <si>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</si>
  <si>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</si>
  <si>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</si>
  <si>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</si>
  <si>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</si>
  <si>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</si>
  <si>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</si>
  <si>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</si>
  <si>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</si>
  <si>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</si>
  <si>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</si>
  <si>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</si>
  <si>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</si>
  <si>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</si>
  <si>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</si>
  <si>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</si>
  <si>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</si>
  <si>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</si>
  <si>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</si>
  <si>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</si>
  <si>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</si>
  <si>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</si>
  <si>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</si>
  <si>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</si>
  <si>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</si>
  <si>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</si>
  <si>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</si>
  <si>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</si>
  <si>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</si>
  <si>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</si>
  <si>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</si>
  <si>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</si>
  <si>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</si>
  <si>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</si>
  <si>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</si>
  <si>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</si>
  <si>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</si>
  <si>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</si>
  <si>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</si>
  <si>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</si>
  <si>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</si>
  <si>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</si>
  <si>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</si>
  <si>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</si>
  <si>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</si>
  <si>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</si>
  <si>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</si>
  <si>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</si>
  <si>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</si>
  <si>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</si>
  <si>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</si>
  <si>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</si>
  <si>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</si>
  <si>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</si>
  <si>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CD_Prov</t>
  </si>
  <si>
    <t>SUM Prov</t>
  </si>
  <si>
    <t>Total Acumulado</t>
  </si>
  <si>
    <t>FID</t>
  </si>
  <si>
    <t>Corregim 1</t>
  </si>
  <si>
    <t>Cod_Prov</t>
  </si>
  <si>
    <t>Lat_Prov</t>
  </si>
  <si>
    <t>Long_Prov</t>
  </si>
  <si>
    <t>Poblacion Provincia</t>
  </si>
  <si>
    <t>Cod_Dist</t>
  </si>
  <si>
    <t>Lat_Dist</t>
  </si>
  <si>
    <t>Long_Dist</t>
  </si>
  <si>
    <t>Poblacion Dist</t>
  </si>
  <si>
    <t>Cod_Corr</t>
  </si>
  <si>
    <t>Lat</t>
  </si>
  <si>
    <t>Long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</si>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</sst>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165" fontId="1" fillId="0" borderId="0" xfId="42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99060</xdr:colOff>
      <xdr:row>8</xdr:row>
      <xdr:rowOff>182880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B32CAFB-3D57-4F9B-91A1-271B4BE08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7414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327660</xdr:colOff>
      <xdr:row>0</xdr:row>
      <xdr:rowOff>1</xdr:rowOff>
    </xdr:from>
    <xdr:to>
      <xdr:col>11</xdr:col>
      <xdr:colOff>419100</xdr:colOff>
      <xdr:row>8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istrito">
              <a:extLst>
                <a:ext uri="{FF2B5EF4-FFF2-40B4-BE49-F238E27FC236}">
                  <a16:creationId xmlns:a16="http://schemas.microsoft.com/office/drawing/2014/main" id="{DF9AB4B9-A6B4-44DA-A4CD-71EC14F14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1"/>
              <a:ext cx="8793480" cy="170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4DD569F-5BEE-4E51-B119-153047FE1D51}" sourceName="Provinc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611C14ED-4D23-4B37-AA87-8B6AEF51E134}" sourceName="Distri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746C2F56-9CD6-43A5-A092-974073F3C685}" cache="SegmentaciónDeDatos_Provincia" caption="Provincia" columnCount="3" style="SlicerStyleDark3" rowHeight="234950"/>
  <slicer name="Distrito" xr10:uid="{AEACA679-73D6-4D69-BC25-1B48935AA89F}" cache="SegmentaciónDeDatos_Distrito" caption="Distrito" columnCount="8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57445-1BD9-4CF1-B8E0-B876D8B619FB}" name="Casos_PN" displayName="Casos_PN" ref="A3:CN714" totalsRowShown="0" headerRowDxfId="27">
  <autoFilter ref="A3:CN714" xr:uid="{0ABBA619-8E8C-4FF6-9EE3-8555C576648C}"/>
  <tableColumns count="92">
    <tableColumn id="1" xr3:uid="{77D2F8DD-0A3A-4CA6-8C0B-C862187C35E3}" name="CD_Corr"/>
    <tableColumn id="2" xr3:uid="{12C4533D-B668-4C58-B97D-B432BDC2C459}" name="Provincia" dataDxfId="26"/>
    <tableColumn id="3" xr3:uid="{A49B6E44-C9E8-4415-81FA-173861D47F1E}" name="Distrito" dataDxfId="25"/>
    <tableColumn id="4" xr3:uid="{AFE28018-6707-42AB-BBDC-2A1E0B01895B}" name="Corregimiento" dataDxfId="24"/>
    <tableColumn id="102" xr3:uid="{49E81FEF-9A5B-42AB-91F0-D24004FB6828}" name="SUM Correg" dataDxfId="23">
      <calculatedColumnFormula>SUM(F4:AEZ4)</calculatedColumnFormula>
    </tableColumn>
    <tableColumn id="5" xr3:uid="{323231EA-332E-4643-9A58-82F872093F49}" name="10-mar"/>
    <tableColumn id="6" xr3:uid="{7424D247-1FC9-4648-A683-F11F75F16BF3}" name="11-mar"/>
    <tableColumn id="7" xr3:uid="{F76923EF-E6EB-4A02-BF73-717AE1BC440D}" name="12-mar"/>
    <tableColumn id="8" xr3:uid="{673C31EF-6E73-4163-9637-11DCCA8864B3}" name="13-mar"/>
    <tableColumn id="9" xr3:uid="{244AA317-01CA-467E-9B5C-FE66D838B5AC}" name="14-mar"/>
    <tableColumn id="10" xr3:uid="{8657C70F-8001-4808-A802-B874A3308242}" name="15-mar"/>
    <tableColumn id="11" xr3:uid="{40ECC49C-3A94-40DD-B92E-ECC49D9E3BCA}" name="16-mar"/>
    <tableColumn id="12" xr3:uid="{8901DC5A-35D7-4093-8413-F63542AF9946}" name="17-mar"/>
    <tableColumn id="13" xr3:uid="{75FDCC8B-9189-41EE-8470-F63F772CB7E1}" name="18-mar"/>
    <tableColumn id="14" xr3:uid="{727E38FA-B42A-454D-83F1-9C612D322E1F}" name="19-mar"/>
    <tableColumn id="15" xr3:uid="{84928606-F724-4D95-BC4C-72A97348588A}" name="20-mar"/>
    <tableColumn id="16" xr3:uid="{A19ED31B-770B-441C-82C4-C3DE489227D2}" name="21-mar"/>
    <tableColumn id="17" xr3:uid="{06342A12-EE4E-4CAB-9322-A4930D44DA48}" name="22-mar"/>
    <tableColumn id="18" xr3:uid="{2368DC8B-AFB4-43F7-80EC-B41BAE302459}" name="23-mar"/>
    <tableColumn id="19" xr3:uid="{1ADBB2A3-9BA6-4067-82C9-DE0B8DDBC3DC}" name="24-mar"/>
    <tableColumn id="20" xr3:uid="{2799473F-32BE-44C0-942D-9E99915309C7}" name="25-mar"/>
    <tableColumn id="21" xr3:uid="{5D85BC64-653E-4CA8-834A-D201B5E486D1}" name="26-mar"/>
    <tableColumn id="22" xr3:uid="{6C65802A-B53E-4C2D-908F-AB3A78577EB7}" name="27-mar"/>
    <tableColumn id="23" xr3:uid="{66FD7891-2676-4275-890F-48A7B0C52E5F}" name="28-mar"/>
    <tableColumn id="24" xr3:uid="{0C332B2B-4CF0-4DFA-BFB4-B21E1F52BC16}" name="29-mar"/>
    <tableColumn id="25" xr3:uid="{73C180A4-7809-4A00-99FC-A77D034D8F75}" name="30-mar"/>
    <tableColumn id="26" xr3:uid="{C4276AE9-D58F-4E94-898E-2B532D1CDE58}" name="31-mar"/>
    <tableColumn id="27" xr3:uid="{0C28A7D0-E278-4AE4-A165-29A1465F5E72}" name="1-abr"/>
    <tableColumn id="28" xr3:uid="{63B26EB7-D9F2-46AA-AD28-DED7DDBAADEC}" name="2-abr"/>
    <tableColumn id="29" xr3:uid="{B8556FFF-B1BA-406E-BB70-5DCCDE523413}" name="3-abr"/>
    <tableColumn id="30" xr3:uid="{5806BEE4-FBA5-438A-A1D4-856F982AC01F}" name="4-abr"/>
    <tableColumn id="31" xr3:uid="{CD46B160-61BC-4186-8E0B-C496367A891A}" name="5-abr"/>
    <tableColumn id="32" xr3:uid="{978CF63A-F449-43E7-92C5-17709E80061A}" name="6-abr"/>
    <tableColumn id="33" xr3:uid="{F83FC125-FE17-48CB-9B20-1133579BE98E}" name="7-abr"/>
    <tableColumn id="34" xr3:uid="{9BCF6475-7BDE-49DB-AD21-4DEE3BDF8C93}" name="8-abr"/>
    <tableColumn id="35" xr3:uid="{72204DA6-957F-4D43-9C8F-10B387D2655C}" name="9-abr"/>
    <tableColumn id="36" xr3:uid="{A4055F2D-6A99-4975-A36D-36BD7E91366E}" name="10-abr"/>
    <tableColumn id="37" xr3:uid="{3EEF6F30-253C-404D-9030-8230DBDDBB8A}" name="11-abr"/>
    <tableColumn id="38" xr3:uid="{4030D7FC-EA66-4D42-AA5B-6EEB8AE16B19}" name="12-abr"/>
    <tableColumn id="39" xr3:uid="{A78F3D2B-6DB0-4B93-8D53-89E7F6815FD0}" name="13-abr"/>
    <tableColumn id="40" xr3:uid="{6E7E9304-42DC-4366-AA43-59DE1FB6166F}" name="14-abr"/>
    <tableColumn id="41" xr3:uid="{28FD5B18-8D63-4951-A11D-D9B698B95292}" name="15-abr"/>
    <tableColumn id="42" xr3:uid="{BC7196FD-1ED4-4F21-835D-CEFE5D6D94EC}" name="16-abr"/>
    <tableColumn id="43" xr3:uid="{292DED58-7E97-4215-845C-AA30C7ACEF27}" name="17-abr"/>
    <tableColumn id="44" xr3:uid="{175356A6-8FB9-479E-8CE9-8694305BE2FE}" name="18-abr"/>
    <tableColumn id="45" xr3:uid="{DCC5FB23-A11F-47A7-9975-7DFDA1318D43}" name="19-abr"/>
    <tableColumn id="46" xr3:uid="{A885C313-A60E-44A1-A16E-FDC3D17DBDD8}" name="20-abr"/>
    <tableColumn id="47" xr3:uid="{BFA16CFA-8A9E-4D50-8429-6366A0127808}" name="21-abr"/>
    <tableColumn id="48" xr3:uid="{A787303E-03EE-45A5-8951-4C906CB9A496}" name="22-abr"/>
    <tableColumn id="49" xr3:uid="{4FA5C339-8752-4B60-B1AF-ABDA1BF2DA26}" name="23-abr"/>
    <tableColumn id="50" xr3:uid="{0CC19983-9F4C-4415-8660-3FE47238EE1A}" name="24-abr"/>
    <tableColumn id="51" xr3:uid="{6D8B4B32-5067-47AC-A507-130D95ED4572}" name="25-abr"/>
    <tableColumn id="52" xr3:uid="{CA00B68A-0773-4526-966A-3A697C412F51}" name="26-abr"/>
    <tableColumn id="53" xr3:uid="{4CB971BA-D7B5-4038-8E53-239462547BDF}" name="27-abr"/>
    <tableColumn id="54" xr3:uid="{FF50CBF2-C7D5-4F07-915F-5C37B3B1D9A6}" name="28-abr"/>
    <tableColumn id="55" xr3:uid="{6877041A-05FF-43F4-B264-D7563C628165}" name="29-abr"/>
    <tableColumn id="56" xr3:uid="{194E836A-27DB-4198-8AF3-A567B877D64F}" name="30-abr"/>
    <tableColumn id="57" xr3:uid="{B0A099FF-DCCC-4CBD-962A-CB188BA304E8}" name="1-may"/>
    <tableColumn id="58" xr3:uid="{26001BA5-CA52-4725-A479-DDED4F3EA567}" name="2-may"/>
    <tableColumn id="59" xr3:uid="{FA5D37CF-FA76-46D7-9BEE-076FFE545393}" name="3-may"/>
    <tableColumn id="60" xr3:uid="{D8F39FD7-36DF-4BD3-BBCB-E8BF2FCFE7C8}" name="4-may"/>
    <tableColumn id="61" xr3:uid="{FBCA5F30-4DF9-40E0-B0A3-73737129EE9F}" name="5-may"/>
    <tableColumn id="62" xr3:uid="{6FA6D603-61F3-414D-AB64-3BF5F36ABD67}" name="6-may"/>
    <tableColumn id="63" xr3:uid="{4A81F6B3-276E-4B8E-8C01-E79526A2ED52}" name="7-may"/>
    <tableColumn id="64" xr3:uid="{E2DC131D-DC89-4171-97D3-94B80AAC69F4}" name="8-may"/>
    <tableColumn id="65" xr3:uid="{E0016EEB-CAB0-410C-B04E-3742ED6B1A17}" name="9-may"/>
    <tableColumn id="66" xr3:uid="{3BA5BD54-3A16-4282-AC46-29C6A3E0C7BD}" name="10-may"/>
    <tableColumn id="67" xr3:uid="{E7673B6D-8533-44F9-A37C-0504EF995A2D}" name="11-may"/>
    <tableColumn id="68" xr3:uid="{093B2154-F5FC-4C7A-A9FA-F57EAB6A467B}" name="12-may"/>
    <tableColumn id="69" xr3:uid="{B349DF22-BCF4-474D-82A6-35204E8081D3}" name="13-may"/>
    <tableColumn id="70" xr3:uid="{8662814B-280F-45C9-8D50-344DB515A7A0}" name="14-may"/>
    <tableColumn id="71" xr3:uid="{9DAE2D0C-F428-4814-A253-5CB861BB7363}" name="15-may"/>
    <tableColumn id="72" xr3:uid="{49E952A4-4808-4243-B6CC-53257E9DC893}" name="16-may"/>
    <tableColumn id="73" xr3:uid="{430E9D94-B2BA-4F71-A0BD-639631DEF461}" name="17-may"/>
    <tableColumn id="74" xr3:uid="{1993B75F-1F40-4AE3-B276-20A68877B4E0}" name="18-may"/>
    <tableColumn id="75" xr3:uid="{D6715163-1435-470E-8378-58290CD15653}" name="19-may"/>
    <tableColumn id="76" xr3:uid="{C00AA0AA-098E-4783-B238-1BCA1635A347}" name="20-may"/>
    <tableColumn id="77" xr3:uid="{F9F8F35F-0C79-4AA9-83AC-8715693E8FA4}" name="21-may"/>
    <tableColumn id="78" xr3:uid="{919E39B3-E3B5-4936-B8A8-9B8624AA8D01}" name="22-may"/>
    <tableColumn id="79" xr3:uid="{B468D647-7602-4257-9B1F-943DE784007E}" name="23-may"/>
    <tableColumn id="80" xr3:uid="{42EEAC40-3CD6-4639-8620-CAD9BEC4895B}" name="24-may"/>
    <tableColumn id="81" xr3:uid="{4DC67704-3D47-40CB-A711-BD19FDB1167C}" name="25-may"/>
    <tableColumn id="82" xr3:uid="{1D1EC188-708B-447F-86D4-F16B49275A93}" name="26-may"/>
    <tableColumn id="83" xr3:uid="{D5350F93-E32B-48A8-8088-ECDE724329ED}" name="27-may"/>
    <tableColumn id="84" xr3:uid="{C89892B4-1CC2-44AC-9EB9-028325D0CD69}" name="28-may"/>
    <tableColumn id="85" xr3:uid="{B36FB5EA-97C6-42C3-BC77-53128D133A41}" name="29-may"/>
    <tableColumn id="86" xr3:uid="{AA6D2741-7B64-497D-9B24-493C7DCC97C8}" name="30-may"/>
    <tableColumn id="87" xr3:uid="{FF4C77F5-4B81-45F1-BED9-1E681C544CB6}" name="31-may"/>
    <tableColumn id="88" xr3:uid="{8DEB61CC-E06E-4BF5-8BBB-A471000EAF96}" name="1-jun"/>
    <tableColumn id="89" xr3:uid="{87903A9B-A20F-444C-8B3D-5DCFECF3628A}" name="2-jun"/>
    <tableColumn id="90" xr3:uid="{026C2CCE-FFA0-4A6B-934B-024FFACD03D9}" name="3-jun"/>
    <tableColumn id="91" xr3:uid="{CBEADDB2-6D89-4416-9208-800173B0572F}" name="4-ju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83C610-2CAC-4D7B-A777-FF1F789E74B1}" name="Casos_PN6" displayName="Casos_PN6" ref="A3:CL16" totalsRowShown="0" headerRowDxfId="22">
  <autoFilter ref="A3:CL16" xr:uid="{0ABBA619-8E8C-4FF6-9EE3-8555C576648C}"/>
  <tableColumns count="90">
    <tableColumn id="1" xr3:uid="{29099242-B417-45E9-8B72-F9D622E5CFCB}" name="CD_Prov"/>
    <tableColumn id="2" xr3:uid="{6BDD50F4-2094-499D-B3B4-0F1BE52C5C96}" name="Provincia" dataDxfId="21"/>
    <tableColumn id="102" xr3:uid="{60487D1D-F53F-499E-BAE3-2E18C40A5705}" name="SUM Prov" dataDxfId="20">
      <calculatedColumnFormula>SUM(D4:AEX4)</calculatedColumnFormula>
    </tableColumn>
    <tableColumn id="5" xr3:uid="{2F072B07-270A-4EE1-AFAD-04CA44057882}" name="10-mar"/>
    <tableColumn id="6" xr3:uid="{98494C57-B902-4393-8EE0-98685B875965}" name="11-mar"/>
    <tableColumn id="7" xr3:uid="{BC07A7F5-0FD2-4ABA-9196-6F34E409F50C}" name="12-mar"/>
    <tableColumn id="8" xr3:uid="{42ABCDE7-05E4-403F-A6ED-419EB5465181}" name="13-mar"/>
    <tableColumn id="9" xr3:uid="{3A71D644-3C33-40EA-B02A-0A1573A7306C}" name="14-mar"/>
    <tableColumn id="10" xr3:uid="{9137A4CF-1024-4D22-9DF7-8A8A64BE3562}" name="15-mar"/>
    <tableColumn id="11" xr3:uid="{58BD4263-E1DE-421F-AA3D-670B16406776}" name="16-mar"/>
    <tableColumn id="12" xr3:uid="{5689A990-2158-4417-A616-D561B9F82BC6}" name="17-mar"/>
    <tableColumn id="13" xr3:uid="{06688FE6-7C98-413F-B947-E8D50B96821B}" name="18-mar"/>
    <tableColumn id="14" xr3:uid="{DB4FF893-0B88-41CE-AA9C-4840D1460C94}" name="19-mar"/>
    <tableColumn id="15" xr3:uid="{08009009-93A5-45E6-B259-F4F370E63575}" name="20-mar"/>
    <tableColumn id="16" xr3:uid="{09DA0658-5AB7-4D1E-BC2E-F370E5DE20C6}" name="21-mar"/>
    <tableColumn id="17" xr3:uid="{4B7D493E-920C-4089-B47F-990DF46F85DC}" name="22-mar"/>
    <tableColumn id="18" xr3:uid="{90244572-AA02-441A-8F4D-F36BAFB148CF}" name="23-mar"/>
    <tableColumn id="19" xr3:uid="{30FC88AF-1B9F-47A6-B3FE-56904E88ADD6}" name="24-mar"/>
    <tableColumn id="20" xr3:uid="{67D4A034-2BD0-470F-BF57-58C388FD6C7A}" name="25-mar"/>
    <tableColumn id="21" xr3:uid="{A7850F30-9C67-4786-8792-BF3A612E3CF6}" name="26-mar"/>
    <tableColumn id="22" xr3:uid="{E8F87E02-7667-49C1-A976-10DF7EAD03C1}" name="27-mar"/>
    <tableColumn id="23" xr3:uid="{BB24613B-A926-4490-9830-5A8073ACA708}" name="28-mar"/>
    <tableColumn id="24" xr3:uid="{63C3F90B-2FB1-4FE3-A5C6-93EA11E6A5A5}" name="29-mar"/>
    <tableColumn id="25" xr3:uid="{0F0F25E0-55DD-4DED-8AFE-2A566D015187}" name="30-mar"/>
    <tableColumn id="26" xr3:uid="{87A05D28-28FA-4613-9667-A7BBC62885E1}" name="31-mar"/>
    <tableColumn id="27" xr3:uid="{A86AE325-F4B6-4FB6-9703-3182EF8C413C}" name="1-abr"/>
    <tableColumn id="28" xr3:uid="{C81438D3-3113-4A3C-BA05-096ACDD263AC}" name="2-abr"/>
    <tableColumn id="29" xr3:uid="{53169F4D-40B7-4FAA-85B4-5E2907B69899}" name="3-abr"/>
    <tableColumn id="30" xr3:uid="{45F4C217-49CC-461B-84FE-6706BB8ED03B}" name="4-abr"/>
    <tableColumn id="31" xr3:uid="{871B28C9-EC73-4BB8-9DF4-76D3CA5C698E}" name="5-abr"/>
    <tableColumn id="32" xr3:uid="{4DFB9239-1CE6-4206-97D1-28A30270D9F1}" name="6-abr"/>
    <tableColumn id="33" xr3:uid="{95400E68-2643-4064-BDE8-B74CAE53D535}" name="7-abr"/>
    <tableColumn id="34" xr3:uid="{013C6E20-1174-43A0-92B0-83200E30D57C}" name="8-abr"/>
    <tableColumn id="35" xr3:uid="{B847B29B-29C8-487F-A4EE-F0BF5483BB96}" name="9-abr"/>
    <tableColumn id="36" xr3:uid="{A81FADA7-FD48-46D8-B0F6-B3C1DAF412DA}" name="10-abr"/>
    <tableColumn id="37" xr3:uid="{6F65900D-686C-4851-AA12-782D703073B1}" name="11-abr"/>
    <tableColumn id="38" xr3:uid="{CDE0AF6C-DB41-42BE-BF33-1D1FE65D7D6A}" name="12-abr"/>
    <tableColumn id="39" xr3:uid="{1E292A15-6033-4B62-8D3A-34C4A1F02569}" name="13-abr"/>
    <tableColumn id="40" xr3:uid="{D47A5DC0-2531-4B17-B357-439D63B1B073}" name="14-abr"/>
    <tableColumn id="41" xr3:uid="{8B073637-C77E-4851-B9CF-8FEFF9000484}" name="15-abr"/>
    <tableColumn id="42" xr3:uid="{F97787E8-1704-4614-AC9F-49B8CE38D089}" name="16-abr"/>
    <tableColumn id="43" xr3:uid="{A1165AD0-A801-463A-9ACE-AA08CF235D33}" name="17-abr"/>
    <tableColumn id="44" xr3:uid="{3F72B150-ECDE-4C70-AF4A-8342C3644AB0}" name="18-abr"/>
    <tableColumn id="45" xr3:uid="{5956680B-351E-45C4-975C-A30362AA1B5D}" name="19-abr"/>
    <tableColumn id="46" xr3:uid="{B1D6BEB4-5979-4F11-9495-E422F75D092D}" name="20-abr"/>
    <tableColumn id="47" xr3:uid="{306BEECE-7CE3-436F-9BD5-AD7B33CF30B1}" name="21-abr"/>
    <tableColumn id="48" xr3:uid="{81F3C62B-ECB9-43FE-956D-605E3841CCAD}" name="22-abr"/>
    <tableColumn id="49" xr3:uid="{C6268A7C-A4F3-4163-A615-9BAFF3B50223}" name="23-abr"/>
    <tableColumn id="50" xr3:uid="{1362F460-D050-4D7D-9C74-22A787D72899}" name="24-abr"/>
    <tableColumn id="51" xr3:uid="{0C601349-6FB1-4A83-A4A1-5EE74778E5B2}" name="25-abr"/>
    <tableColumn id="52" xr3:uid="{BDB42063-3D4B-4268-AD45-D7428BEB2F9D}" name="26-abr"/>
    <tableColumn id="53" xr3:uid="{5D274158-4876-4C20-9DAE-A9E25D04BEED}" name="27-abr"/>
    <tableColumn id="54" xr3:uid="{E5095B23-F227-4611-8916-1FFC8045CB06}" name="28-abr"/>
    <tableColumn id="55" xr3:uid="{21F75B23-7072-4A9B-8D73-4AB8CEC0A0A6}" name="29-abr"/>
    <tableColumn id="56" xr3:uid="{93ED8FE0-4927-479D-B866-7A365B124B46}" name="30-abr"/>
    <tableColumn id="57" xr3:uid="{327DF3EF-ADAA-4233-83C2-8F1063CBA116}" name="1-may"/>
    <tableColumn id="58" xr3:uid="{16AAFC37-D8A0-43B7-ADB7-F75BE954372C}" name="2-may"/>
    <tableColumn id="59" xr3:uid="{A26EC9EB-6F04-47CE-AAAF-3CFF4C7BA49F}" name="3-may"/>
    <tableColumn id="60" xr3:uid="{5EB2D438-BCE5-48B6-8F90-2D0D18BBF0FB}" name="4-may"/>
    <tableColumn id="61" xr3:uid="{86310790-5A91-4762-AFC7-D8A25F4DA1F3}" name="5-may"/>
    <tableColumn id="62" xr3:uid="{4D408CA2-7BE9-4F74-954D-4613E547F0A9}" name="6-may"/>
    <tableColumn id="63" xr3:uid="{F9E2E9B7-9529-4808-8D63-BB1D001B065F}" name="7-may"/>
    <tableColumn id="64" xr3:uid="{0F75A51A-1071-4FF8-8076-6CAEC032D93A}" name="8-may"/>
    <tableColumn id="65" xr3:uid="{EDC9C542-4338-4156-A2E8-0F25AE1F44E4}" name="9-may"/>
    <tableColumn id="66" xr3:uid="{A2D8FE6C-5032-425C-A891-273A3F917EFE}" name="10-may"/>
    <tableColumn id="67" xr3:uid="{CE3A8BDB-084B-4A46-B4DD-2DA3FF086D1D}" name="11-may"/>
    <tableColumn id="68" xr3:uid="{ED663764-57D8-47CE-B6D4-5DB7EC0CB592}" name="12-may"/>
    <tableColumn id="69" xr3:uid="{BD4961BD-21DD-4BC1-B8F5-4EADEFC0F233}" name="13-may"/>
    <tableColumn id="70" xr3:uid="{6BAEC38F-ABA2-4A48-B77D-2FD1286DE9C0}" name="14-may"/>
    <tableColumn id="71" xr3:uid="{8028B650-E7D5-4DD5-B107-C927348F41E5}" name="15-may"/>
    <tableColumn id="72" xr3:uid="{3A280459-D9D5-4320-931B-26EB26D42EC4}" name="16-may"/>
    <tableColumn id="73" xr3:uid="{5B0009F9-7B6C-4E75-94CE-2A6C6E3A5B3B}" name="17-may"/>
    <tableColumn id="74" xr3:uid="{E196AF3E-9576-47FD-A5CA-2D0DC381EFEB}" name="18-may"/>
    <tableColumn id="75" xr3:uid="{8F8B6F7D-434D-4852-9864-8A9D936C8A52}" name="19-may"/>
    <tableColumn id="76" xr3:uid="{982D4531-C9B5-4BD7-944D-2C40234EA018}" name="20-may"/>
    <tableColumn id="77" xr3:uid="{E9BF8BBD-02EE-45D1-B621-BFFB1BD0DA31}" name="21-may"/>
    <tableColumn id="78" xr3:uid="{3B9DE776-51CD-4EC8-94D4-A617DC9E6C7E}" name="22-may"/>
    <tableColumn id="79" xr3:uid="{1041A09F-FBE0-4C72-8E7B-B93491A09088}" name="23-may"/>
    <tableColumn id="80" xr3:uid="{85ED4791-7110-4971-9C9C-9B2D64B476D6}" name="24-may"/>
    <tableColumn id="81" xr3:uid="{DCBCF9FB-ACB1-473E-AB94-C61CC951B1A3}" name="25-may"/>
    <tableColumn id="82" xr3:uid="{B1AE888C-756F-4A0A-BCAE-19956A31B448}" name="26-may"/>
    <tableColumn id="83" xr3:uid="{573865A0-8019-4C6C-A849-87548C92FF6B}" name="27-may"/>
    <tableColumn id="84" xr3:uid="{170D8AA7-D87F-40E2-88C7-94276B459CEC}" name="28-may"/>
    <tableColumn id="85" xr3:uid="{79637EFE-E40B-4A66-881B-7977C962CF12}" name="29-may"/>
    <tableColumn id="86" xr3:uid="{94C943E3-A6E2-452B-92F5-E9CF5EB0C6C0}" name="30-may"/>
    <tableColumn id="87" xr3:uid="{E0921811-7578-4623-8A54-07EC3112C6E9}" name="31-may"/>
    <tableColumn id="88" xr3:uid="{83FE1012-D1FB-4491-A947-7D2CDCAA2CBD}" name="1-jun"/>
    <tableColumn id="89" xr3:uid="{61852ACF-49DB-4AB0-9D4E-9C7BE64B3FCD}" name="2-jun"/>
    <tableColumn id="90" xr3:uid="{2B48D153-D607-44D4-8006-152D0D70E71F}" name="3-jun"/>
    <tableColumn id="91" xr3:uid="{95B4ED81-8449-487D-9E78-B890E8C568F3}" name="4-ju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D59A8-0E7C-4903-8B18-6F9F85409CF0}" name="Muertes_PN" displayName="Muertes_PN" ref="A3:CN714" totalsRowShown="0" headerRowDxfId="19">
  <autoFilter ref="A3:CN714" xr:uid="{0ABBA619-8E8C-4FF6-9EE3-8555C576648C}"/>
  <tableColumns count="92">
    <tableColumn id="1" xr3:uid="{B0E342B6-D17D-42A3-BD98-F1A4C74F1D3C}" name="CD_Corr"/>
    <tableColumn id="2" xr3:uid="{8C62F7DC-99AD-4488-973A-831BA6364CDF}" name="Provincia" dataDxfId="18"/>
    <tableColumn id="3" xr3:uid="{4D3C3FC4-73FB-45EB-8FD4-180AD2F9D20F}" name="Distrito" dataDxfId="17"/>
    <tableColumn id="4" xr3:uid="{DE276EEC-4949-41B1-969A-66DA0AF37A7D}" name="Corregimiento" dataDxfId="16"/>
    <tableColumn id="102" xr3:uid="{78EA6977-50B6-4A89-8BC2-D5011FB3558D}" name="SUM Correg" dataDxfId="15">
      <calculatedColumnFormula>SUM(F4:AEZ4)</calculatedColumnFormula>
    </tableColumn>
    <tableColumn id="5" xr3:uid="{4E619981-72D9-4900-91CE-BD914B2B3028}" name="10-mar"/>
    <tableColumn id="6" xr3:uid="{6900E5A4-C260-4668-BF97-C235C5A51D03}" name="11-mar"/>
    <tableColumn id="7" xr3:uid="{D764CD30-D335-4023-A41D-CD073C4BEF9D}" name="12-mar"/>
    <tableColumn id="8" xr3:uid="{120BCFD0-E811-42FB-ABB5-C0C56C76B9AB}" name="13-mar"/>
    <tableColumn id="9" xr3:uid="{B1C6DEEC-00C3-4CAF-8278-A66CEC7A21FD}" name="14-mar"/>
    <tableColumn id="10" xr3:uid="{476345F3-E687-4948-B809-D5CF2C7748D7}" name="15-mar"/>
    <tableColumn id="11" xr3:uid="{F6E30062-BEB5-4EC8-A894-D61FD91F4EEE}" name="16-mar"/>
    <tableColumn id="12" xr3:uid="{FD6819E0-BD0E-40CE-A2AB-BB3EA120E0D5}" name="17-mar"/>
    <tableColumn id="13" xr3:uid="{658CB73B-26D3-4769-A040-C69B234AC8BC}" name="18-mar"/>
    <tableColumn id="14" xr3:uid="{FB7F8E30-9DA9-4822-9FA0-C9CEFA6ED6CF}" name="19-mar"/>
    <tableColumn id="15" xr3:uid="{554BFE4E-CF9A-4D1B-B40B-586319B088FD}" name="20-mar"/>
    <tableColumn id="16" xr3:uid="{A9A0C31A-2E91-4453-B4C5-023C9F326822}" name="21-mar"/>
    <tableColumn id="17" xr3:uid="{119040FC-E442-4F4E-B823-CBB51B494FFA}" name="22-mar"/>
    <tableColumn id="18" xr3:uid="{8772C5B0-3110-4767-A31B-58A7B5F833C4}" name="23-mar"/>
    <tableColumn id="19" xr3:uid="{0F78CC81-BDBA-479B-9857-B075E965DDD1}" name="24-mar"/>
    <tableColumn id="20" xr3:uid="{26EE0792-0778-4FC6-B12E-6488C3B91BB0}" name="25-mar"/>
    <tableColumn id="21" xr3:uid="{434FBB0F-0278-4507-A321-75D249F8B254}" name="26-mar"/>
    <tableColumn id="22" xr3:uid="{F09B58F0-AA42-446D-9C30-8AA5CDDC93E6}" name="27-mar"/>
    <tableColumn id="23" xr3:uid="{6C778545-D91B-4E32-8B13-DD434FD85F63}" name="28-mar"/>
    <tableColumn id="24" xr3:uid="{527E6DF5-CB68-433F-8F43-308786110BAE}" name="29-mar"/>
    <tableColumn id="25" xr3:uid="{182B072D-0880-4587-AF80-8B607092364D}" name="30-mar"/>
    <tableColumn id="26" xr3:uid="{21CCC1E6-0314-423F-9C46-D9B35EBAF5C5}" name="31-mar"/>
    <tableColumn id="27" xr3:uid="{60988EE0-19D1-439E-A7CB-6BB40EE0DCBF}" name="1-abr"/>
    <tableColumn id="28" xr3:uid="{E1808766-B47A-4814-8B29-06B57A44B901}" name="2-abr"/>
    <tableColumn id="29" xr3:uid="{F19624E9-58C0-41B7-93CC-E3F9FD074FCC}" name="3-abr"/>
    <tableColumn id="30" xr3:uid="{5E0CCED8-168F-4B09-BF1E-6DDA0C78B560}" name="4-abr"/>
    <tableColumn id="31" xr3:uid="{E94EEB1B-84DD-40BA-8B39-F31257A60D3B}" name="5-abr"/>
    <tableColumn id="32" xr3:uid="{F5D97D73-400B-4D22-A8C6-6776EADE0E93}" name="6-abr"/>
    <tableColumn id="33" xr3:uid="{2EFF2ADA-B0F4-4F62-BF0A-F3B0A1DE7B12}" name="7-abr"/>
    <tableColumn id="34" xr3:uid="{9E2F1839-F0B0-45B1-B674-F59496F4F166}" name="8-abr"/>
    <tableColumn id="35" xr3:uid="{38BBAD0D-DB1C-4528-9B15-E13DC6477FE3}" name="9-abr"/>
    <tableColumn id="36" xr3:uid="{3F5875E0-96AF-4875-88C4-10089F05AAB5}" name="10-abr"/>
    <tableColumn id="37" xr3:uid="{53136DB9-0047-4CE3-8972-3278B5575887}" name="11-abr"/>
    <tableColumn id="38" xr3:uid="{FF7538E1-45BC-4833-BA72-A912FA5C57C7}" name="12-abr"/>
    <tableColumn id="39" xr3:uid="{1AD1D32E-2B34-434B-BF1B-FBE50E50A064}" name="13-abr"/>
    <tableColumn id="40" xr3:uid="{0AEB024D-4AF8-4B8D-BE2D-D4E177506976}" name="14-abr"/>
    <tableColumn id="41" xr3:uid="{3B220AEC-34B5-42B0-8E19-610536B38D30}" name="15-abr"/>
    <tableColumn id="42" xr3:uid="{1BCFD1C6-CEAA-4BD4-BC2D-B2DEF1F2891D}" name="16-abr"/>
    <tableColumn id="43" xr3:uid="{2D0BEE05-3BAA-4958-83CD-8CD1644BCB62}" name="17-abr"/>
    <tableColumn id="44" xr3:uid="{03A09D1C-8624-4E6A-B157-40269F21AED8}" name="18-abr"/>
    <tableColumn id="45" xr3:uid="{2B9ED23E-8BB7-444C-97E2-C883F0BE4570}" name="19-abr"/>
    <tableColumn id="46" xr3:uid="{861FBF14-D5D0-426A-961A-460801CF9702}" name="20-abr"/>
    <tableColumn id="47" xr3:uid="{F8E2CB84-CEC6-4B56-924A-D1A24E4DFB75}" name="21-abr"/>
    <tableColumn id="48" xr3:uid="{0FE40498-E769-42CA-B3AD-C24B87580FD1}" name="22-abr"/>
    <tableColumn id="49" xr3:uid="{E98D90C5-F398-4CB3-AE7D-3A68FD90D2E9}" name="23-abr"/>
    <tableColumn id="50" xr3:uid="{08401853-848B-4476-AEF2-C66876D79DDB}" name="24-abr"/>
    <tableColumn id="51" xr3:uid="{8511EE74-5E2A-46C6-B8B6-CD3651BA24C7}" name="25-abr"/>
    <tableColumn id="52" xr3:uid="{58BEDADA-3071-4635-ABF3-6AD81E89E73C}" name="26-abr"/>
    <tableColumn id="53" xr3:uid="{CE363836-17CB-40CE-BF3F-DEE5EBEAB5DC}" name="27-abr"/>
    <tableColumn id="54" xr3:uid="{6A1E5A61-BB00-430B-ACD6-49F1797B83FD}" name="28-abr"/>
    <tableColumn id="55" xr3:uid="{05522A48-9A36-471A-9DD2-A3DBD834F00E}" name="29-abr"/>
    <tableColumn id="56" xr3:uid="{712028DE-8B54-45A5-9108-9D95D116FE85}" name="30-abr"/>
    <tableColumn id="57" xr3:uid="{FF98D91F-CC51-419D-9D26-3F7A5FC6EFD2}" name="1-may"/>
    <tableColumn id="58" xr3:uid="{D38B190E-F506-49E2-A621-4459B3463503}" name="2-may"/>
    <tableColumn id="59" xr3:uid="{FF155A82-0D1F-4965-9303-EA8820180602}" name="3-may"/>
    <tableColumn id="60" xr3:uid="{11C3D477-CCCE-4B9D-80A3-C12D1F25291D}" name="4-may"/>
    <tableColumn id="61" xr3:uid="{CB0EE95B-96DA-4603-B553-255C0321F5A2}" name="5-may"/>
    <tableColumn id="62" xr3:uid="{BAF4C325-9CD8-432A-94C2-1FCB86670761}" name="6-may"/>
    <tableColumn id="63" xr3:uid="{9B51D4CE-36ED-41F8-8FA0-38F67EFBA285}" name="7-may"/>
    <tableColumn id="64" xr3:uid="{CBD09337-337F-4D28-9F57-D13E795485A8}" name="8-may"/>
    <tableColumn id="65" xr3:uid="{1210E709-5DCF-4205-B709-8B92B026D587}" name="9-may"/>
    <tableColumn id="66" xr3:uid="{BD7E1CBF-A5AC-4FB0-B06B-60BFA70D370C}" name="10-may"/>
    <tableColumn id="67" xr3:uid="{94816EB4-5BFE-4279-B45B-8681B4AC9F8D}" name="11-may"/>
    <tableColumn id="68" xr3:uid="{7E810920-B63D-4E8C-9D0D-115EA691CA48}" name="12-may"/>
    <tableColumn id="69" xr3:uid="{961F3C19-5712-4CD7-BA17-EFD17FAFCBE9}" name="13-may"/>
    <tableColumn id="70" xr3:uid="{56873A0E-4974-49A7-81D3-00ED829C0FD8}" name="14-may"/>
    <tableColumn id="71" xr3:uid="{0F0BA25F-AA6B-4856-8494-8043D04621F6}" name="15-may"/>
    <tableColumn id="72" xr3:uid="{CFE065A7-851A-40E6-8034-FAFBD2586014}" name="16-may"/>
    <tableColumn id="73" xr3:uid="{FF2D27C3-3250-4B48-BA0E-1EAE5BD86036}" name="17-may"/>
    <tableColumn id="74" xr3:uid="{325A7D1F-E100-4BC8-90B7-D4575F991E6B}" name="18-may"/>
    <tableColumn id="75" xr3:uid="{AD5A9B77-838B-4F67-A299-3407696F5A00}" name="19-may"/>
    <tableColumn id="76" xr3:uid="{B4C30F7E-4F6C-4344-8B9C-631F5B7ACF1C}" name="20-may"/>
    <tableColumn id="77" xr3:uid="{2F8AD57A-5C2A-41A5-B987-A4085C5F4839}" name="21-may"/>
    <tableColumn id="78" xr3:uid="{CA709140-CD10-4567-B3CC-5C67335CCE23}" name="22-may"/>
    <tableColumn id="79" xr3:uid="{2E0F381A-613C-4C84-9860-DCA09E5C2105}" name="23-may"/>
    <tableColumn id="80" xr3:uid="{0BA7D82F-BD27-448C-B14A-A82C15F5C554}" name="24-may"/>
    <tableColumn id="81" xr3:uid="{024D2116-4477-47BC-8EDB-921BB3D84F73}" name="25-may"/>
    <tableColumn id="82" xr3:uid="{0EF94CA1-7FF6-4E02-9911-FED1EEC6718A}" name="26-may"/>
    <tableColumn id="83" xr3:uid="{D90B0E51-9352-4F91-B417-68B1B0C40EE8}" name="27-may"/>
    <tableColumn id="84" xr3:uid="{59E90E0F-E33A-42F5-AD25-AA473AFBD476}" name="28-may"/>
    <tableColumn id="85" xr3:uid="{EADB12C2-ADBA-4955-A69E-DFBC8AD431AE}" name="29-may"/>
    <tableColumn id="86" xr3:uid="{08C62392-FD21-4828-88BC-6D3EE9566786}" name="30-may"/>
    <tableColumn id="87" xr3:uid="{5566CE0B-4B3D-4002-A81A-518B2EF63F0D}" name="31-may"/>
    <tableColumn id="88" xr3:uid="{D6DEAEA2-2D7E-47A2-9164-2B154EA4D4DE}" name="1-jun"/>
    <tableColumn id="89" xr3:uid="{941EA6EC-CF4F-42B6-838D-5BDD6E036B19}" name="2-jun"/>
    <tableColumn id="90" xr3:uid="{A646640B-1B1C-4519-A6E4-0765F2028253}" name="3-jun"/>
    <tableColumn id="91" xr3:uid="{6371771B-EA9E-41C1-8319-7C89B6F6E7DA}" name="4-ju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5C8C4-B47E-4778-A68B-F08BB4776A03}" name="Muertes_PN7" displayName="Muertes_PN7" ref="A3:E714" totalsRowShown="0" headerRowDxfId="14">
  <autoFilter ref="A3:E714" xr:uid="{0ABBA619-8E8C-4FF6-9EE3-8555C576648C}"/>
  <sortState xmlns:xlrd2="http://schemas.microsoft.com/office/spreadsheetml/2017/richdata2" ref="A4:E714">
    <sortCondition ref="D3:D714"/>
  </sortState>
  <tableColumns count="5">
    <tableColumn id="1" xr3:uid="{80781D1C-D563-4696-A4AB-354A9978B44B}" name="CD_Corr"/>
    <tableColumn id="2" xr3:uid="{83700828-76FE-4080-A6A4-00EDE08082E8}" name="Provincia" dataDxfId="13"/>
    <tableColumn id="3" xr3:uid="{95EECC9F-301B-4117-A0C7-67E8A446073F}" name="Distrito" dataDxfId="12"/>
    <tableColumn id="4" xr3:uid="{DF2A5EBF-079C-41CF-848C-D5556F232EA3}" name="Corregimiento" dataDxfId="11"/>
    <tableColumn id="102" xr3:uid="{F22F14F6-48D7-4784-B447-EF0430F26A2A}" name="Total Acumulado" dataDxfId="10">
      <calculatedColumnFormula>SUM(F4:ABQ4)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64F6F-D033-469F-9C58-0E3F57B829FE}" name="Recupera_PN" displayName="Recupera_PN" ref="A3:CN714" totalsRowShown="0" headerRowDxfId="9">
  <autoFilter ref="A3:CN714" xr:uid="{0ABBA619-8E8C-4FF6-9EE3-8555C576648C}"/>
  <tableColumns count="92">
    <tableColumn id="1" xr3:uid="{7A042768-BC1E-404B-8FB9-83E55EADC7CE}" name="CD_Corr"/>
    <tableColumn id="2" xr3:uid="{B08CE68F-0D5B-4638-8743-C1C730A67B22}" name="Provincia" dataDxfId="8"/>
    <tableColumn id="3" xr3:uid="{55AD1902-1154-4163-8279-F133D1DAC164}" name="Distrito" dataDxfId="7"/>
    <tableColumn id="4" xr3:uid="{D0EADBFE-6731-4E76-9A95-0CC4555B4717}" name="Corregimiento" dataDxfId="6"/>
    <tableColumn id="102" xr3:uid="{23A6F19A-22EB-4E40-8EE2-C556D945F106}" name="SUM Correg" dataDxfId="5">
      <calculatedColumnFormula>SUM(F4:AEZ4)</calculatedColumnFormula>
    </tableColumn>
    <tableColumn id="5" xr3:uid="{6B734473-45C0-4DAF-B736-DC8D19925431}" name="10-mar"/>
    <tableColumn id="6" xr3:uid="{247D631E-84DA-4C0E-86D3-C52C2D20A930}" name="11-mar"/>
    <tableColumn id="7" xr3:uid="{697A9480-8774-45DE-A61B-7C31568B4F8E}" name="12-mar"/>
    <tableColumn id="8" xr3:uid="{E2769324-939C-4099-B677-A5D3214E9574}" name="13-mar"/>
    <tableColumn id="9" xr3:uid="{8A197FE5-3885-4D7E-BB99-BECAA7AD2000}" name="14-mar"/>
    <tableColumn id="10" xr3:uid="{8DCBE88C-F3A5-4272-BEDE-A582F198197E}" name="15-mar"/>
    <tableColumn id="11" xr3:uid="{E919226D-C0AD-4A6B-8506-7343E296C58D}" name="16-mar"/>
    <tableColumn id="12" xr3:uid="{722B9059-9374-4793-9F68-C47A76E6D970}" name="17-mar"/>
    <tableColumn id="13" xr3:uid="{0F623F9C-3AA8-4947-B1CB-78CE5D2675AB}" name="18-mar"/>
    <tableColumn id="14" xr3:uid="{9B62790A-EC2A-4463-94F7-381FC6ADE3DA}" name="19-mar"/>
    <tableColumn id="15" xr3:uid="{13BE4F87-F375-49FD-9298-DD68409523E3}" name="20-mar"/>
    <tableColumn id="16" xr3:uid="{4C688BB5-7D90-4CBD-A120-10A58854D77C}" name="21-mar"/>
    <tableColumn id="17" xr3:uid="{D8024797-1AFF-45D6-AB62-FCA9BBAB7387}" name="22-mar"/>
    <tableColumn id="18" xr3:uid="{41D114D9-131D-46E8-84B8-46D400D18745}" name="23-mar"/>
    <tableColumn id="19" xr3:uid="{E52E1E55-8A83-4F99-BB04-7FECA2F14A0A}" name="24-mar"/>
    <tableColumn id="20" xr3:uid="{0657B3DC-5650-4302-B307-2D4AAC8DB67E}" name="25-mar"/>
    <tableColumn id="21" xr3:uid="{25A08AA3-CBE0-4634-87E9-EFF9B2ABD366}" name="26-mar"/>
    <tableColumn id="22" xr3:uid="{5DE69BCB-C474-4C96-B6BA-87750497C47A}" name="27-mar"/>
    <tableColumn id="23" xr3:uid="{1EC228BE-EE4F-4076-AC05-C9D84B143655}" name="28-mar"/>
    <tableColumn id="24" xr3:uid="{16307D51-0915-450F-8463-9330854394AE}" name="29-mar"/>
    <tableColumn id="25" xr3:uid="{772AEE74-8204-4B80-8B1A-1F7CE24D7505}" name="30-mar"/>
    <tableColumn id="26" xr3:uid="{B2BB3552-EB04-45CD-9695-EDDAF519641C}" name="31-mar"/>
    <tableColumn id="27" xr3:uid="{F2D6F4F9-7398-420A-A1B2-0B50F4EC5983}" name="1-abr"/>
    <tableColumn id="28" xr3:uid="{F3EF8C09-F673-492E-B44C-4AA5BD6B9A1C}" name="2-abr"/>
    <tableColumn id="29" xr3:uid="{43EF1512-89C9-4356-9AC1-659658CDEBD6}" name="3-abr"/>
    <tableColumn id="30" xr3:uid="{9DD132C5-9949-4EAA-815A-B72601215AAB}" name="4-abr"/>
    <tableColumn id="31" xr3:uid="{207BDDB2-8E26-4683-874B-C37BDB1FA0B7}" name="5-abr"/>
    <tableColumn id="32" xr3:uid="{C1D3565B-7395-4996-87E6-A88D95B6679D}" name="6-abr"/>
    <tableColumn id="33" xr3:uid="{42197E23-3DB0-4DEA-85DD-D98204E148D1}" name="7-abr"/>
    <tableColumn id="34" xr3:uid="{80924A96-390D-49F5-B452-A44257995779}" name="8-abr"/>
    <tableColumn id="35" xr3:uid="{04F607BF-CECE-4C8F-9023-4D42F2F2853F}" name="9-abr"/>
    <tableColumn id="36" xr3:uid="{9114BDAE-0364-47C3-A22A-FD60CBEB3EAF}" name="10-abr"/>
    <tableColumn id="37" xr3:uid="{61CDA5F7-2BE8-4637-8D0E-F61C047C254E}" name="11-abr"/>
    <tableColumn id="38" xr3:uid="{80BE9307-F1EF-41E7-899E-F8DEBB49642E}" name="12-abr"/>
    <tableColumn id="39" xr3:uid="{58B20F2A-081F-40C8-89D4-7601954258B6}" name="13-abr"/>
    <tableColumn id="40" xr3:uid="{9094681E-7510-485C-90BB-F98944BEB8E7}" name="14-abr"/>
    <tableColumn id="41" xr3:uid="{B0A288E0-B9EE-4682-A958-62A80DD8BDBA}" name="15-abr"/>
    <tableColumn id="42" xr3:uid="{C72E0D5B-443E-4D84-8961-03F51CE8B2AC}" name="16-abr"/>
    <tableColumn id="43" xr3:uid="{3E9A4C49-2457-4442-A82A-DA4B9399E072}" name="17-abr"/>
    <tableColumn id="44" xr3:uid="{C6D102C8-9B45-4EEF-BE57-11D3EF43701E}" name="18-abr"/>
    <tableColumn id="45" xr3:uid="{4F82E423-7285-4301-92E9-B35AF0DD258C}" name="19-abr"/>
    <tableColumn id="46" xr3:uid="{1268E1AA-BE3A-47B7-B563-B5899C45B3D7}" name="20-abr"/>
    <tableColumn id="47" xr3:uid="{CD689203-43CC-4E7A-8B36-45BF1D27845F}" name="21-abr"/>
    <tableColumn id="48" xr3:uid="{BED10089-CA94-48F9-A18C-5AC3E197CD5C}" name="22-abr"/>
    <tableColumn id="49" xr3:uid="{DAE39FC0-8F05-4093-B76A-3E414C1EB10F}" name="23-abr"/>
    <tableColumn id="50" xr3:uid="{2E0A2067-520F-4A05-B328-E1BC70157256}" name="24-abr"/>
    <tableColumn id="51" xr3:uid="{1C9CC0F3-2875-4939-A96A-4CC02AD4976C}" name="25-abr"/>
    <tableColumn id="52" xr3:uid="{6C6DBC4B-7964-475B-A08C-0FE573AFAD3B}" name="26-abr"/>
    <tableColumn id="53" xr3:uid="{6628DD5E-0C78-4167-B31E-4C0E6466777B}" name="27-abr"/>
    <tableColumn id="54" xr3:uid="{0D77B00A-021C-4156-97B3-574814C65BB2}" name="28-abr"/>
    <tableColumn id="55" xr3:uid="{C8E30F61-7BC8-4381-A5F5-521816718AB7}" name="29-abr"/>
    <tableColumn id="56" xr3:uid="{382F6842-1778-4A25-93F8-C8AAA0F541CC}" name="30-abr"/>
    <tableColumn id="57" xr3:uid="{1A6A65D7-064B-42F3-BFAA-B052B59B194B}" name="1-may"/>
    <tableColumn id="58" xr3:uid="{71406104-E87D-4656-91C4-489CB5F080FE}" name="2-may"/>
    <tableColumn id="59" xr3:uid="{0053D0EB-F264-4A81-B9B9-972866CB8808}" name="3-may"/>
    <tableColumn id="60" xr3:uid="{3EE8F894-A295-463C-92F7-7ADE40A72916}" name="4-may"/>
    <tableColumn id="61" xr3:uid="{60743BE6-3350-49EA-B1A9-2541A1A80F37}" name="5-may"/>
    <tableColumn id="62" xr3:uid="{F8C567EC-FAF6-4B14-93A1-779D76E8E8AC}" name="6-may"/>
    <tableColumn id="63" xr3:uid="{540E8340-DB8D-4175-99F3-CA241A0FBB8B}" name="7-may"/>
    <tableColumn id="64" xr3:uid="{D07021B7-2E51-4D4C-8C51-DD64B1F9CF02}" name="8-may"/>
    <tableColumn id="65" xr3:uid="{06C3174E-2C5B-48DD-B06F-6788B4793ACE}" name="9-may"/>
    <tableColumn id="66" xr3:uid="{F1ED2525-D380-47BF-BB53-0A718D80E333}" name="10-may"/>
    <tableColumn id="67" xr3:uid="{AD8EF37D-AC9D-4CC2-86C5-05DEA68F1BF5}" name="11-may"/>
    <tableColumn id="68" xr3:uid="{552EDD1A-0034-442A-AED0-54E442163449}" name="12-may"/>
    <tableColumn id="69" xr3:uid="{A8C7AB56-9F42-475A-A0FB-F62BDBCC1C2E}" name="13-may"/>
    <tableColumn id="70" xr3:uid="{770572FE-1B78-47EC-86BD-4D96744CC629}" name="14-may"/>
    <tableColumn id="71" xr3:uid="{F5E06DC2-2493-415A-B94C-0532CB6B351F}" name="15-may"/>
    <tableColumn id="72" xr3:uid="{AE0F5804-FDFD-48AE-BEB9-2532EB21C814}" name="16-may"/>
    <tableColumn id="73" xr3:uid="{3BA30E31-E895-4AD2-9D3E-E9A817D54D23}" name="17-may"/>
    <tableColumn id="74" xr3:uid="{9919CCF6-6AFE-491E-9F13-9D8DAAF262D4}" name="18-may"/>
    <tableColumn id="75" xr3:uid="{AD90DA13-7868-4CB1-AE8D-7292E25C1BBF}" name="19-may"/>
    <tableColumn id="76" xr3:uid="{A4D75355-2528-48BE-97BE-A5B3B98139A9}" name="20-may"/>
    <tableColumn id="77" xr3:uid="{4DA948BE-E496-412C-BD5E-39D672526C21}" name="21-may"/>
    <tableColumn id="78" xr3:uid="{7B7D8070-C363-403E-84B5-1364EE43D01A}" name="22-may"/>
    <tableColumn id="79" xr3:uid="{E20069A5-D862-430B-A293-62F57D4FEA83}" name="23-may"/>
    <tableColumn id="80" xr3:uid="{60C9129B-AFF7-479F-907D-128B40A18621}" name="24-may"/>
    <tableColumn id="81" xr3:uid="{6A7DC740-6727-4607-A72B-9EC3360FEAC1}" name="25-may"/>
    <tableColumn id="82" xr3:uid="{7680F3E4-3A0C-4F30-B762-CF3E6B960476}" name="26-may"/>
    <tableColumn id="83" xr3:uid="{D51F9520-F555-4A5D-9375-3DF79DFE01F7}" name="27-may"/>
    <tableColumn id="84" xr3:uid="{01981635-94B3-44F9-B750-3353C60BBD27}" name="28-may"/>
    <tableColumn id="85" xr3:uid="{DDE1C84C-F402-467F-AFC3-0682B268FBC1}" name="29-may"/>
    <tableColumn id="86" xr3:uid="{978A5D8F-5BCA-4EBF-AD99-7C4394F30893}" name="30-may"/>
    <tableColumn id="87" xr3:uid="{F5306E67-EE3E-4F65-95BA-C32DC22EB8FA}" name="31-may"/>
    <tableColumn id="88" xr3:uid="{5B2F96DC-21B0-4177-9000-EA90AF40C956}" name="1-jun"/>
    <tableColumn id="89" xr3:uid="{75081652-E81B-4D27-99A9-7ABC0D4352CC}" name="2-jun"/>
    <tableColumn id="90" xr3:uid="{2AB3B0B8-163A-4B82-A9C5-3009343D4F35}" name="3-jun"/>
    <tableColumn id="91" xr3:uid="{730E5654-BBDB-4712-B674-DE1765C287D3}" name="4-jun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7BEF-525B-4BD7-BA78-BCB54C1A7E6D}" name="Recupera_PN8" displayName="Recupera_PN8" ref="A3:E714" totalsRowShown="0" headerRowDxfId="4">
  <autoFilter ref="A3:E714" xr:uid="{0ABBA619-8E8C-4FF6-9EE3-8555C576648C}"/>
  <sortState xmlns:xlrd2="http://schemas.microsoft.com/office/spreadsheetml/2017/richdata2" ref="A4:E714">
    <sortCondition ref="D3:D714"/>
  </sortState>
  <tableColumns count="5">
    <tableColumn id="1" xr3:uid="{F5450875-17A5-4839-9AB7-310E718378CD}" name="CD_Corr"/>
    <tableColumn id="2" xr3:uid="{B078FB80-A1BF-486A-974A-26035186D86E}" name="Provincia" dataDxfId="3"/>
    <tableColumn id="3" xr3:uid="{BEE55D87-3885-4CA6-962F-19D87E37305C}" name="Distrito" dataDxfId="2"/>
    <tableColumn id="4" xr3:uid="{C375C2D2-2203-4EC6-88F5-39B41643E0CE}" name="Corregimiento" dataDxfId="1"/>
    <tableColumn id="102" xr3:uid="{7D1E47E0-E201-4D82-A5B6-5AE1B744A393}" name="Total Acumulado" dataDxfId="0">
      <calculatedColumnFormula>SUM(F4:ABQ4)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0931-F5F4-4316-9083-139283292EF9}" name="Localiza_PN" displayName="Localiza_PN" ref="A10:Q721" totalsRowShown="0">
  <autoFilter ref="A10:Q721" xr:uid="{6FFE6D0E-A85B-47F2-AD1A-4532884D55F6}"/>
  <tableColumns count="17">
    <tableColumn id="1" xr3:uid="{A58EE53F-38DF-4748-80DB-F3FFB5C07130}" name="FID"/>
    <tableColumn id="2" xr3:uid="{1E733EA5-7064-4F60-89BA-61D8739B11E9}" name="Corregim 1">
      <calculatedColumnFormula>+N11</calculatedColumnFormula>
    </tableColumn>
    <tableColumn id="3" xr3:uid="{9983E59A-19FA-43AA-98A4-8369FCD54DB5}" name="Cod_Prov"/>
    <tableColumn id="4" xr3:uid="{759DAD81-2DD0-417B-97B7-48D594CF3CF5}" name="Provincia"/>
    <tableColumn id="5" xr3:uid="{293B3A96-DCCC-4234-9767-0A314CE2615A}" name="Lat_Prov"/>
    <tableColumn id="6" xr3:uid="{3C036CDB-26FB-4397-A2C1-8DC4C69B2085}" name="Long_Prov"/>
    <tableColumn id="7" xr3:uid="{C0A616E2-B62A-421E-A85F-0B239B16CA47}" name="Poblacion Provincia"/>
    <tableColumn id="8" xr3:uid="{B7A96C8A-B52C-4F10-A084-CB7F5219CC9D}" name="Cod_Dist"/>
    <tableColumn id="9" xr3:uid="{AF6E8882-49C1-4809-94F2-7E5101A07572}" name="Distrito"/>
    <tableColumn id="10" xr3:uid="{D7D9D777-527B-4262-9870-62F0FD8C8B9D}" name="Lat_Dist"/>
    <tableColumn id="11" xr3:uid="{3DF20130-EED2-40E6-8836-7ED56285E121}" name="Long_Dist"/>
    <tableColumn id="12" xr3:uid="{6752BF11-D04A-4D04-88F8-005111C2ED4F}" name="Poblacion Dist"/>
    <tableColumn id="13" xr3:uid="{8B07261E-D29F-4C4A-8257-3D73A731C261}" name="Cod_Corr"/>
    <tableColumn id="14" xr3:uid="{9CABDC6F-E898-42C4-BB78-7CA54BD81721}" name="Corregimiento"/>
    <tableColumn id="15" xr3:uid="{4191B2D9-61B1-43E6-A3D3-7D71C960AA0B}" name="Lat"/>
    <tableColumn id="16" xr3:uid="{51661433-023A-4C48-B04C-41FF3132E1C1}" name="Long"/>
    <tableColumn id="17" xr3:uid="{2A35BB53-6C22-456D-B9B2-B96C42D73CDA}" name="Pobl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8A82-025C-48C0-A286-FA3BEAFE0CC5}">
  <dimension ref="A2:CN714"/>
  <sheetViews>
    <sheetView showGridLines="0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G2" sqref="G2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75" x14ac:dyDescent="0.25">
      <c r="E2" s="5">
        <f>SUM(Casos_PN[10-mar])</f>
        <v>0</v>
      </c>
      <c r="F2" s="3">
        <f>SUM(Casos_PN[10-mar])</f>
        <v>0</v>
      </c>
      <c r="G2" s="3">
        <f>SUM(Casos_PN[11-mar])</f>
        <v>0</v>
      </c>
      <c r="H2" s="3">
        <f>SUM(Casos_PN[12-mar])</f>
        <v>0</v>
      </c>
      <c r="I2" s="3">
        <f>SUM(Casos_PN[13-mar])</f>
        <v>0</v>
      </c>
      <c r="J2" s="3">
        <f>SUM(Casos_PN[14-mar])</f>
        <v>0</v>
      </c>
      <c r="K2" s="3">
        <f>SUM(Casos_PN[15-mar])</f>
        <v>0</v>
      </c>
      <c r="L2" s="3">
        <f>SUM(Casos_PN[16-mar])</f>
        <v>0</v>
      </c>
      <c r="M2" s="3">
        <f>SUM(Casos_PN[17-mar])</f>
        <v>0</v>
      </c>
      <c r="N2" s="3">
        <f>SUM(Casos_PN[18-mar])</f>
        <v>0</v>
      </c>
      <c r="O2" s="3">
        <f>SUM(Casos_PN[19-mar])</f>
        <v>0</v>
      </c>
      <c r="P2" s="3">
        <f>SUM(Casos_PN[20-mar])</f>
        <v>0</v>
      </c>
      <c r="Q2" s="3">
        <f>SUM(Casos_PN[21-mar])</f>
        <v>0</v>
      </c>
      <c r="R2" s="3">
        <f>SUM(Casos_PN[22-mar])</f>
        <v>0</v>
      </c>
      <c r="S2" s="3">
        <f>SUM(Casos_PN[23-mar])</f>
        <v>0</v>
      </c>
      <c r="T2" s="3">
        <f>SUM(Casos_PN[24-mar])</f>
        <v>0</v>
      </c>
      <c r="U2" s="3">
        <f>SUM(Casos_PN[25-mar])</f>
        <v>0</v>
      </c>
      <c r="V2" s="3">
        <f>SUM(Casos_PN[26-mar])</f>
        <v>0</v>
      </c>
      <c r="W2" s="3">
        <f>SUM(Casos_PN[27-mar])</f>
        <v>0</v>
      </c>
      <c r="X2" s="3">
        <f>SUM(Casos_PN[28-mar])</f>
        <v>0</v>
      </c>
      <c r="Y2" s="3">
        <f>SUM(Casos_PN[29-mar])</f>
        <v>0</v>
      </c>
      <c r="Z2" s="3">
        <f>SUM(Casos_PN[30-mar])</f>
        <v>0</v>
      </c>
      <c r="AA2" s="3">
        <f>SUM(Casos_PN[31-mar])</f>
        <v>0</v>
      </c>
      <c r="AB2" s="3">
        <f>SUM(Casos_PN[1-abr])</f>
        <v>0</v>
      </c>
      <c r="AC2" s="3">
        <f>SUM(Casos_PN[2-abr])</f>
        <v>0</v>
      </c>
      <c r="AD2" s="3">
        <f>SUM(Casos_PN[3-abr])</f>
        <v>0</v>
      </c>
      <c r="AE2" s="3">
        <f>SUM(Casos_PN[4-abr])</f>
        <v>0</v>
      </c>
      <c r="AF2" s="3">
        <f>SUM(Casos_PN[5-abr])</f>
        <v>0</v>
      </c>
      <c r="AG2" s="3">
        <f>SUM(Casos_PN[6-abr])</f>
        <v>0</v>
      </c>
      <c r="AH2" s="3">
        <f>SUM(Casos_PN[7-abr])</f>
        <v>0</v>
      </c>
      <c r="AI2" s="3">
        <f>SUM(Casos_PN[8-abr])</f>
        <v>0</v>
      </c>
      <c r="AJ2" s="3">
        <f>SUM(Casos_PN[9-abr])</f>
        <v>0</v>
      </c>
      <c r="AK2" s="3">
        <f>SUM(Casos_PN[10-abr])</f>
        <v>0</v>
      </c>
      <c r="AL2" s="3">
        <f>SUM(Casos_PN[11-abr])</f>
        <v>0</v>
      </c>
      <c r="AM2" s="3">
        <f>SUM(Casos_PN[12-abr])</f>
        <v>0</v>
      </c>
      <c r="AN2" s="3">
        <f>SUM(Casos_PN[13-abr])</f>
        <v>0</v>
      </c>
      <c r="AO2" s="3">
        <f>SUM(Casos_PN[14-abr])</f>
        <v>0</v>
      </c>
      <c r="AP2" s="3">
        <f>SUM(Casos_PN[15-abr])</f>
        <v>0</v>
      </c>
      <c r="AQ2" s="3">
        <f>SUM(Casos_PN[16-abr])</f>
        <v>0</v>
      </c>
      <c r="AR2" s="3">
        <f>SUM(Casos_PN[17-abr])</f>
        <v>0</v>
      </c>
      <c r="AS2" s="3">
        <f>SUM(Casos_PN[18-abr])</f>
        <v>0</v>
      </c>
      <c r="AT2" s="3">
        <f>SUM(Casos_PN[19-abr])</f>
        <v>0</v>
      </c>
      <c r="AU2" s="3">
        <f>SUM(Casos_PN[20-abr])</f>
        <v>0</v>
      </c>
      <c r="AV2" s="3">
        <f>SUM(Casos_PN[21-abr])</f>
        <v>0</v>
      </c>
      <c r="AW2" s="3">
        <f>SUM(Casos_PN[22-abr])</f>
        <v>0</v>
      </c>
      <c r="AX2" s="3">
        <f>SUM(Casos_PN[23-abr])</f>
        <v>0</v>
      </c>
      <c r="AY2" s="3">
        <f>SUM(Casos_PN[24-abr])</f>
        <v>0</v>
      </c>
      <c r="AZ2" s="3">
        <f>SUM(Casos_PN[25-abr])</f>
        <v>0</v>
      </c>
      <c r="BA2" s="3">
        <f>SUM(Casos_PN[26-abr])</f>
        <v>0</v>
      </c>
      <c r="BB2" s="3">
        <f>SUM(Casos_PN[27-abr])</f>
        <v>0</v>
      </c>
      <c r="BC2" s="3">
        <f>SUM(Casos_PN[28-abr])</f>
        <v>0</v>
      </c>
      <c r="BD2" s="3">
        <f>SUM(Casos_PN[29-abr])</f>
        <v>0</v>
      </c>
      <c r="BE2" s="3">
        <f>SUM(Casos_PN[30-abr])</f>
        <v>0</v>
      </c>
      <c r="BF2" s="3">
        <f>SUM(Casos_PN[1-may])</f>
        <v>0</v>
      </c>
      <c r="BG2" s="3">
        <f>SUM(Casos_PN[2-may])</f>
        <v>0</v>
      </c>
      <c r="BH2" s="3">
        <f>SUM(Casos_PN[3-may])</f>
        <v>0</v>
      </c>
      <c r="BI2" s="3">
        <f>SUM(Casos_PN[4-may])</f>
        <v>0</v>
      </c>
      <c r="BJ2" s="3">
        <f>SUM(Casos_PN[5-may])</f>
        <v>0</v>
      </c>
      <c r="BK2" s="3">
        <f>SUM(Casos_PN[6-may])</f>
        <v>0</v>
      </c>
      <c r="BL2" s="3">
        <f>SUM(Casos_PN[7-may])</f>
        <v>0</v>
      </c>
      <c r="BM2" s="3">
        <f>SUM(Casos_PN[8-may])</f>
        <v>0</v>
      </c>
      <c r="BN2" s="3">
        <f>SUM(Casos_PN[9-may])</f>
        <v>0</v>
      </c>
      <c r="BO2" s="3">
        <f>SUM(Casos_PN[10-may])</f>
        <v>0</v>
      </c>
      <c r="BP2" s="3">
        <f>SUM(Casos_PN[11-may])</f>
        <v>0</v>
      </c>
      <c r="BQ2" s="3">
        <f>SUM(Casos_PN[12-may])</f>
        <v>0</v>
      </c>
      <c r="BR2" s="3">
        <f>SUM(Casos_PN[13-may])</f>
        <v>0</v>
      </c>
      <c r="BS2" s="3">
        <f>SUM(Casos_PN[14-may])</f>
        <v>0</v>
      </c>
      <c r="BT2" s="3">
        <f>SUM(Casos_PN[15-may])</f>
        <v>0</v>
      </c>
      <c r="BU2" s="3">
        <f>SUM(Casos_PN[16-may])</f>
        <v>0</v>
      </c>
      <c r="BV2" s="3">
        <f>SUM(Casos_PN[17-may])</f>
        <v>0</v>
      </c>
      <c r="BW2" s="3">
        <f>SUM(Casos_PN[18-may])</f>
        <v>0</v>
      </c>
      <c r="BX2" s="3">
        <f>SUM(Casos_PN[19-may])</f>
        <v>0</v>
      </c>
      <c r="BY2" s="3">
        <f>SUM(Casos_PN[20-may])</f>
        <v>0</v>
      </c>
      <c r="BZ2" s="3">
        <f>SUM(Casos_PN[21-may])</f>
        <v>0</v>
      </c>
      <c r="CA2" s="3">
        <f>SUM(Casos_PN[22-may])</f>
        <v>0</v>
      </c>
      <c r="CB2" s="3">
        <f>SUM(Casos_PN[23-may])</f>
        <v>0</v>
      </c>
      <c r="CC2" s="3">
        <f>SUM(Casos_PN[24-may])</f>
        <v>0</v>
      </c>
      <c r="CD2" s="3">
        <f>SUM(Casos_PN[25-may])</f>
        <v>0</v>
      </c>
      <c r="CE2" s="3">
        <f>SUM(Casos_PN[26-may])</f>
        <v>0</v>
      </c>
      <c r="CF2" s="3">
        <f>SUM(Casos_PN[27-may])</f>
        <v>0</v>
      </c>
      <c r="CG2" s="3">
        <f>SUM(Casos_PN[28-may])</f>
        <v>0</v>
      </c>
      <c r="CH2" s="3">
        <f>SUM(Casos_PN[29-may])</f>
        <v>0</v>
      </c>
      <c r="CI2" s="3">
        <f>SUM(Casos_PN[30-may])</f>
        <v>0</v>
      </c>
      <c r="CJ2" s="3">
        <f>SUM(Casos_PN[31-may])</f>
        <v>0</v>
      </c>
      <c r="CK2" s="3">
        <f>SUM(Casos_PN[1-jun])</f>
        <v>0</v>
      </c>
      <c r="CL2" s="3">
        <f>SUM(Casos_PN[2-jun])</f>
        <v>0</v>
      </c>
      <c r="CM2" s="3">
        <f>SUM(Casos_PN[3-jun])</f>
        <v>0</v>
      </c>
      <c r="CN2" s="3">
        <f>SUM(Casos_PN[4-jun])</f>
        <v>0</v>
      </c>
    </row>
    <row r="3" spans="1:92" s="6" customFormat="1" ht="25.9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 x14ac:dyDescent="0.25">
      <c r="A4">
        <v>10101</v>
      </c>
      <c r="B4" s="2" t="s">
        <v>92</v>
      </c>
      <c r="C4" s="2" t="s">
        <v>92</v>
      </c>
      <c r="D4" s="2" t="s">
        <v>93</v>
      </c>
      <c r="E4" s="4">
        <f>SUM(F4:AEZ4)</f>
        <v>0</v>
      </c>
    </row>
    <row r="5" spans="1:92" x14ac:dyDescent="0.25">
      <c r="A5">
        <v>10102</v>
      </c>
      <c r="B5" s="2" t="s">
        <v>92</v>
      </c>
      <c r="C5" s="2" t="s">
        <v>92</v>
      </c>
      <c r="D5" s="2" t="s">
        <v>94</v>
      </c>
      <c r="E5" s="4">
        <f t="shared" ref="E5:E68" si="0">SUM(F5:AEZ5)</f>
        <v>0</v>
      </c>
      <c r="R5" s="1"/>
    </row>
    <row r="6" spans="1:92" x14ac:dyDescent="0.25">
      <c r="A6">
        <v>10103</v>
      </c>
      <c r="B6" s="2" t="s">
        <v>92</v>
      </c>
      <c r="C6" s="2" t="s">
        <v>92</v>
      </c>
      <c r="D6" s="2" t="s">
        <v>95</v>
      </c>
      <c r="E6" s="4">
        <f t="shared" si="0"/>
        <v>0</v>
      </c>
      <c r="R6" s="1"/>
    </row>
    <row r="7" spans="1:92" x14ac:dyDescent="0.25">
      <c r="A7">
        <v>10104</v>
      </c>
      <c r="B7" s="2" t="s">
        <v>92</v>
      </c>
      <c r="C7" s="2" t="s">
        <v>92</v>
      </c>
      <c r="D7" s="2" t="s">
        <v>96</v>
      </c>
      <c r="E7" s="4">
        <f t="shared" si="0"/>
        <v>0</v>
      </c>
      <c r="R7" s="1"/>
    </row>
    <row r="8" spans="1:92" x14ac:dyDescent="0.25">
      <c r="A8">
        <v>10105</v>
      </c>
      <c r="B8" s="2" t="s">
        <v>92</v>
      </c>
      <c r="C8" s="2" t="s">
        <v>92</v>
      </c>
      <c r="D8" s="2" t="s">
        <v>97</v>
      </c>
      <c r="E8" s="4">
        <f t="shared" si="0"/>
        <v>0</v>
      </c>
      <c r="R8" s="1"/>
    </row>
    <row r="9" spans="1:92" x14ac:dyDescent="0.25">
      <c r="A9">
        <v>10209</v>
      </c>
      <c r="B9" s="2" t="s">
        <v>92</v>
      </c>
      <c r="C9" s="2" t="s">
        <v>98</v>
      </c>
      <c r="D9" s="2" t="s">
        <v>99</v>
      </c>
      <c r="E9" s="4">
        <f t="shared" si="0"/>
        <v>0</v>
      </c>
      <c r="R9" s="1"/>
    </row>
    <row r="10" spans="1:92" x14ac:dyDescent="0.25">
      <c r="A10">
        <v>10201</v>
      </c>
      <c r="B10" s="2" t="s">
        <v>92</v>
      </c>
      <c r="C10" s="2" t="s">
        <v>100</v>
      </c>
      <c r="D10" s="2" t="s">
        <v>101</v>
      </c>
      <c r="E10" s="4">
        <f t="shared" si="0"/>
        <v>0</v>
      </c>
      <c r="R10" s="1"/>
    </row>
    <row r="11" spans="1:92" x14ac:dyDescent="0.25">
      <c r="A11">
        <v>10203</v>
      </c>
      <c r="B11" s="2" t="s">
        <v>92</v>
      </c>
      <c r="C11" s="2" t="s">
        <v>100</v>
      </c>
      <c r="D11" s="2" t="s">
        <v>102</v>
      </c>
      <c r="E11" s="4">
        <f t="shared" si="0"/>
        <v>0</v>
      </c>
      <c r="R11" s="1"/>
    </row>
    <row r="12" spans="1:92" x14ac:dyDescent="0.25">
      <c r="A12">
        <v>10204</v>
      </c>
      <c r="B12" s="2" t="s">
        <v>92</v>
      </c>
      <c r="C12" s="2" t="s">
        <v>100</v>
      </c>
      <c r="D12" s="2" t="s">
        <v>103</v>
      </c>
      <c r="E12" s="4">
        <f t="shared" si="0"/>
        <v>0</v>
      </c>
      <c r="R12" s="1"/>
    </row>
    <row r="13" spans="1:92" x14ac:dyDescent="0.25">
      <c r="A13">
        <v>10206</v>
      </c>
      <c r="B13" s="2" t="s">
        <v>92</v>
      </c>
      <c r="C13" s="2" t="s">
        <v>100</v>
      </c>
      <c r="D13" s="2" t="s">
        <v>104</v>
      </c>
      <c r="E13" s="4">
        <f t="shared" si="0"/>
        <v>0</v>
      </c>
      <c r="R13" s="1"/>
    </row>
    <row r="14" spans="1:92" x14ac:dyDescent="0.25">
      <c r="A14">
        <v>10207</v>
      </c>
      <c r="B14" s="2" t="s">
        <v>92</v>
      </c>
      <c r="C14" s="2" t="s">
        <v>100</v>
      </c>
      <c r="D14" s="2" t="s">
        <v>105</v>
      </c>
      <c r="E14" s="4">
        <f t="shared" si="0"/>
        <v>0</v>
      </c>
      <c r="R14" s="1"/>
    </row>
    <row r="15" spans="1:92" x14ac:dyDescent="0.25">
      <c r="A15">
        <v>10208</v>
      </c>
      <c r="B15" s="2" t="s">
        <v>92</v>
      </c>
      <c r="C15" s="2" t="s">
        <v>100</v>
      </c>
      <c r="D15" s="2" t="s">
        <v>106</v>
      </c>
      <c r="E15" s="4">
        <f t="shared" si="0"/>
        <v>0</v>
      </c>
      <c r="R15" s="1"/>
    </row>
    <row r="16" spans="1:92" x14ac:dyDescent="0.25">
      <c r="A16">
        <v>10209</v>
      </c>
      <c r="B16" s="2" t="s">
        <v>92</v>
      </c>
      <c r="C16" s="2" t="s">
        <v>100</v>
      </c>
      <c r="D16" s="2" t="s">
        <v>107</v>
      </c>
      <c r="E16" s="4">
        <f t="shared" si="0"/>
        <v>0</v>
      </c>
      <c r="R16" s="1"/>
    </row>
    <row r="17" spans="1:18" x14ac:dyDescent="0.25">
      <c r="A17">
        <v>10210</v>
      </c>
      <c r="B17" s="2" t="s">
        <v>92</v>
      </c>
      <c r="C17" s="2" t="s">
        <v>100</v>
      </c>
      <c r="D17" s="2" t="s">
        <v>108</v>
      </c>
      <c r="E17" s="4">
        <f t="shared" si="0"/>
        <v>0</v>
      </c>
      <c r="R17" s="1"/>
    </row>
    <row r="18" spans="1:18" x14ac:dyDescent="0.25">
      <c r="A18">
        <v>10301</v>
      </c>
      <c r="B18" s="2" t="s">
        <v>92</v>
      </c>
      <c r="C18" s="2" t="s">
        <v>109</v>
      </c>
      <c r="D18" s="2" t="s">
        <v>110</v>
      </c>
      <c r="E18" s="4">
        <f t="shared" si="0"/>
        <v>0</v>
      </c>
      <c r="R18" s="1"/>
    </row>
    <row r="19" spans="1:18" x14ac:dyDescent="0.25">
      <c r="A19">
        <v>10302</v>
      </c>
      <c r="B19" s="2" t="s">
        <v>92</v>
      </c>
      <c r="C19" s="2" t="s">
        <v>109</v>
      </c>
      <c r="D19" s="2" t="s">
        <v>111</v>
      </c>
      <c r="E19" s="4">
        <f t="shared" si="0"/>
        <v>0</v>
      </c>
      <c r="R19" s="1"/>
    </row>
    <row r="20" spans="1:18" x14ac:dyDescent="0.25">
      <c r="A20">
        <v>10303</v>
      </c>
      <c r="B20" s="2" t="s">
        <v>92</v>
      </c>
      <c r="C20" s="2" t="s">
        <v>109</v>
      </c>
      <c r="D20" s="2" t="s">
        <v>112</v>
      </c>
      <c r="E20" s="4">
        <f t="shared" si="0"/>
        <v>0</v>
      </c>
      <c r="R20" s="1"/>
    </row>
    <row r="21" spans="1:18" x14ac:dyDescent="0.25">
      <c r="A21">
        <v>10304</v>
      </c>
      <c r="B21" s="2" t="s">
        <v>92</v>
      </c>
      <c r="C21" s="2" t="s">
        <v>109</v>
      </c>
      <c r="D21" s="2" t="s">
        <v>113</v>
      </c>
      <c r="E21" s="4">
        <f t="shared" si="0"/>
        <v>0</v>
      </c>
      <c r="R21" s="1"/>
    </row>
    <row r="22" spans="1:18" x14ac:dyDescent="0.25">
      <c r="A22">
        <v>10305</v>
      </c>
      <c r="B22" s="2" t="s">
        <v>92</v>
      </c>
      <c r="C22" s="2" t="s">
        <v>109</v>
      </c>
      <c r="D22" s="2" t="s">
        <v>114</v>
      </c>
      <c r="E22" s="4">
        <f t="shared" si="0"/>
        <v>0</v>
      </c>
      <c r="R22" s="1"/>
    </row>
    <row r="23" spans="1:18" x14ac:dyDescent="0.25">
      <c r="A23">
        <v>10306</v>
      </c>
      <c r="B23" s="2" t="s">
        <v>92</v>
      </c>
      <c r="C23" s="2" t="s">
        <v>109</v>
      </c>
      <c r="D23" s="2" t="s">
        <v>115</v>
      </c>
      <c r="E23" s="4">
        <f t="shared" si="0"/>
        <v>0</v>
      </c>
      <c r="R23" s="1"/>
    </row>
    <row r="24" spans="1:18" x14ac:dyDescent="0.25">
      <c r="A24">
        <v>20101</v>
      </c>
      <c r="B24" s="2" t="s">
        <v>116</v>
      </c>
      <c r="C24" s="2" t="s">
        <v>117</v>
      </c>
      <c r="D24" s="2" t="s">
        <v>118</v>
      </c>
      <c r="E24" s="4">
        <f t="shared" si="0"/>
        <v>0</v>
      </c>
      <c r="R24" s="1"/>
    </row>
    <row r="25" spans="1:18" x14ac:dyDescent="0.25">
      <c r="A25">
        <v>20102</v>
      </c>
      <c r="B25" s="2" t="s">
        <v>116</v>
      </c>
      <c r="C25" s="2" t="s">
        <v>117</v>
      </c>
      <c r="D25" s="2" t="s">
        <v>119</v>
      </c>
      <c r="E25" s="4">
        <f t="shared" si="0"/>
        <v>0</v>
      </c>
      <c r="R25" s="1"/>
    </row>
    <row r="26" spans="1:18" x14ac:dyDescent="0.25">
      <c r="A26">
        <v>20103</v>
      </c>
      <c r="B26" s="2" t="s">
        <v>116</v>
      </c>
      <c r="C26" s="2" t="s">
        <v>117</v>
      </c>
      <c r="D26" s="2" t="s">
        <v>120</v>
      </c>
      <c r="E26" s="4">
        <f t="shared" si="0"/>
        <v>0</v>
      </c>
      <c r="R26" s="1"/>
    </row>
    <row r="27" spans="1:18" x14ac:dyDescent="0.25">
      <c r="A27">
        <v>20104</v>
      </c>
      <c r="B27" s="2" t="s">
        <v>116</v>
      </c>
      <c r="C27" s="2" t="s">
        <v>117</v>
      </c>
      <c r="D27" s="2" t="s">
        <v>121</v>
      </c>
      <c r="E27" s="4">
        <f t="shared" si="0"/>
        <v>0</v>
      </c>
      <c r="R27" s="1"/>
    </row>
    <row r="28" spans="1:18" x14ac:dyDescent="0.25">
      <c r="A28">
        <v>20105</v>
      </c>
      <c r="B28" s="2" t="s">
        <v>116</v>
      </c>
      <c r="C28" s="2" t="s">
        <v>117</v>
      </c>
      <c r="D28" s="2" t="s">
        <v>122</v>
      </c>
      <c r="E28" s="4">
        <f t="shared" si="0"/>
        <v>0</v>
      </c>
      <c r="R28" s="1"/>
    </row>
    <row r="29" spans="1:18" x14ac:dyDescent="0.25">
      <c r="A29">
        <v>20201</v>
      </c>
      <c r="B29" s="2" t="s">
        <v>116</v>
      </c>
      <c r="C29" s="2" t="s">
        <v>123</v>
      </c>
      <c r="D29" s="2" t="s">
        <v>124</v>
      </c>
      <c r="E29" s="4">
        <f t="shared" si="0"/>
        <v>0</v>
      </c>
      <c r="R29" s="1"/>
    </row>
    <row r="30" spans="1:18" x14ac:dyDescent="0.25">
      <c r="A30">
        <v>20202</v>
      </c>
      <c r="B30" s="2" t="s">
        <v>116</v>
      </c>
      <c r="C30" s="2" t="s">
        <v>123</v>
      </c>
      <c r="D30" s="2" t="s">
        <v>125</v>
      </c>
      <c r="E30" s="4">
        <f t="shared" si="0"/>
        <v>0</v>
      </c>
      <c r="R30" s="1"/>
    </row>
    <row r="31" spans="1:18" x14ac:dyDescent="0.25">
      <c r="A31">
        <v>20203</v>
      </c>
      <c r="B31" s="2" t="s">
        <v>116</v>
      </c>
      <c r="C31" s="2" t="s">
        <v>123</v>
      </c>
      <c r="D31" s="2" t="s">
        <v>126</v>
      </c>
      <c r="E31" s="4">
        <f t="shared" si="0"/>
        <v>0</v>
      </c>
      <c r="R31" s="1"/>
    </row>
    <row r="32" spans="1:18" x14ac:dyDescent="0.25">
      <c r="A32">
        <v>20204</v>
      </c>
      <c r="B32" s="2" t="s">
        <v>116</v>
      </c>
      <c r="C32" s="2" t="s">
        <v>123</v>
      </c>
      <c r="D32" s="2" t="s">
        <v>127</v>
      </c>
      <c r="E32" s="4">
        <f t="shared" si="0"/>
        <v>0</v>
      </c>
      <c r="R32" s="1"/>
    </row>
    <row r="33" spans="1:18" x14ac:dyDescent="0.25">
      <c r="A33">
        <v>20205</v>
      </c>
      <c r="B33" s="2" t="s">
        <v>116</v>
      </c>
      <c r="C33" s="2" t="s">
        <v>123</v>
      </c>
      <c r="D33" s="2" t="s">
        <v>128</v>
      </c>
      <c r="E33" s="4">
        <f t="shared" si="0"/>
        <v>0</v>
      </c>
      <c r="R33" s="1"/>
    </row>
    <row r="34" spans="1:18" x14ac:dyDescent="0.25">
      <c r="A34">
        <v>20206</v>
      </c>
      <c r="B34" s="2" t="s">
        <v>116</v>
      </c>
      <c r="C34" s="2" t="s">
        <v>123</v>
      </c>
      <c r="D34" s="2" t="s">
        <v>129</v>
      </c>
      <c r="E34" s="4">
        <f t="shared" si="0"/>
        <v>0</v>
      </c>
      <c r="R34" s="1"/>
    </row>
    <row r="35" spans="1:18" x14ac:dyDescent="0.25">
      <c r="A35">
        <v>20207</v>
      </c>
      <c r="B35" s="2" t="s">
        <v>116</v>
      </c>
      <c r="C35" s="2" t="s">
        <v>123</v>
      </c>
      <c r="D35" s="2" t="s">
        <v>130</v>
      </c>
      <c r="E35" s="4">
        <f t="shared" si="0"/>
        <v>0</v>
      </c>
      <c r="R35" s="1"/>
    </row>
    <row r="36" spans="1:18" x14ac:dyDescent="0.25">
      <c r="A36">
        <v>20208</v>
      </c>
      <c r="B36" s="2" t="s">
        <v>116</v>
      </c>
      <c r="C36" s="2" t="s">
        <v>123</v>
      </c>
      <c r="D36" s="2" t="s">
        <v>131</v>
      </c>
      <c r="E36" s="4">
        <f t="shared" si="0"/>
        <v>0</v>
      </c>
      <c r="R36" s="1"/>
    </row>
    <row r="37" spans="1:18" x14ac:dyDescent="0.25">
      <c r="A37">
        <v>20209</v>
      </c>
      <c r="B37" s="2" t="s">
        <v>116</v>
      </c>
      <c r="C37" s="2" t="s">
        <v>123</v>
      </c>
      <c r="D37" s="2" t="s">
        <v>132</v>
      </c>
      <c r="E37" s="4">
        <f t="shared" si="0"/>
        <v>0</v>
      </c>
      <c r="R37" s="1"/>
    </row>
    <row r="38" spans="1:18" x14ac:dyDescent="0.25">
      <c r="A38">
        <v>20210</v>
      </c>
      <c r="B38" s="2" t="s">
        <v>116</v>
      </c>
      <c r="C38" s="2" t="s">
        <v>123</v>
      </c>
      <c r="D38" s="2" t="s">
        <v>133</v>
      </c>
      <c r="E38" s="4">
        <f t="shared" si="0"/>
        <v>0</v>
      </c>
      <c r="R38" s="1"/>
    </row>
    <row r="39" spans="1:18" x14ac:dyDescent="0.25">
      <c r="A39">
        <v>20301</v>
      </c>
      <c r="B39" s="2" t="s">
        <v>116</v>
      </c>
      <c r="C39" s="2" t="s">
        <v>134</v>
      </c>
      <c r="D39" s="2" t="s">
        <v>135</v>
      </c>
      <c r="E39" s="4">
        <f t="shared" si="0"/>
        <v>0</v>
      </c>
      <c r="R39" s="1"/>
    </row>
    <row r="40" spans="1:18" x14ac:dyDescent="0.25">
      <c r="A40">
        <v>20302</v>
      </c>
      <c r="B40" s="2" t="s">
        <v>116</v>
      </c>
      <c r="C40" s="2" t="s">
        <v>134</v>
      </c>
      <c r="D40" s="2" t="s">
        <v>136</v>
      </c>
      <c r="E40" s="4">
        <f t="shared" si="0"/>
        <v>0</v>
      </c>
      <c r="R40" s="1"/>
    </row>
    <row r="41" spans="1:18" x14ac:dyDescent="0.25">
      <c r="A41">
        <v>20303</v>
      </c>
      <c r="B41" s="2" t="s">
        <v>116</v>
      </c>
      <c r="C41" s="2" t="s">
        <v>134</v>
      </c>
      <c r="D41" s="2" t="s">
        <v>137</v>
      </c>
      <c r="E41" s="4">
        <f t="shared" si="0"/>
        <v>0</v>
      </c>
      <c r="R41" s="1"/>
    </row>
    <row r="42" spans="1:18" x14ac:dyDescent="0.25">
      <c r="A42">
        <v>20304</v>
      </c>
      <c r="B42" s="2" t="s">
        <v>116</v>
      </c>
      <c r="C42" s="2" t="s">
        <v>134</v>
      </c>
      <c r="D42" s="2" t="s">
        <v>138</v>
      </c>
      <c r="E42" s="4">
        <f t="shared" si="0"/>
        <v>0</v>
      </c>
      <c r="R42" s="1"/>
    </row>
    <row r="43" spans="1:18" x14ac:dyDescent="0.25">
      <c r="A43">
        <v>20305</v>
      </c>
      <c r="B43" s="2" t="s">
        <v>116</v>
      </c>
      <c r="C43" s="2" t="s">
        <v>134</v>
      </c>
      <c r="D43" s="2" t="s">
        <v>139</v>
      </c>
      <c r="E43" s="4">
        <f t="shared" si="0"/>
        <v>0</v>
      </c>
      <c r="R43" s="1"/>
    </row>
    <row r="44" spans="1:18" x14ac:dyDescent="0.25">
      <c r="A44">
        <v>20306</v>
      </c>
      <c r="B44" s="2" t="s">
        <v>116</v>
      </c>
      <c r="C44" s="2" t="s">
        <v>134</v>
      </c>
      <c r="D44" s="2" t="s">
        <v>140</v>
      </c>
      <c r="E44" s="4">
        <f t="shared" si="0"/>
        <v>0</v>
      </c>
      <c r="R44" s="1"/>
    </row>
    <row r="45" spans="1:18" x14ac:dyDescent="0.25">
      <c r="A45">
        <v>20401</v>
      </c>
      <c r="B45" s="2" t="s">
        <v>116</v>
      </c>
      <c r="C45" s="2" t="s">
        <v>141</v>
      </c>
      <c r="D45" s="2" t="s">
        <v>142</v>
      </c>
      <c r="E45" s="4">
        <f t="shared" si="0"/>
        <v>0</v>
      </c>
      <c r="R45" s="1"/>
    </row>
    <row r="46" spans="1:18" x14ac:dyDescent="0.25">
      <c r="A46">
        <v>20402</v>
      </c>
      <c r="B46" s="2" t="s">
        <v>116</v>
      </c>
      <c r="C46" s="2" t="s">
        <v>141</v>
      </c>
      <c r="D46" s="2" t="s">
        <v>143</v>
      </c>
      <c r="E46" s="4">
        <f t="shared" si="0"/>
        <v>0</v>
      </c>
      <c r="R46" s="1"/>
    </row>
    <row r="47" spans="1:18" x14ac:dyDescent="0.25">
      <c r="A47">
        <v>20403</v>
      </c>
      <c r="B47" s="2" t="s">
        <v>116</v>
      </c>
      <c r="C47" s="2" t="s">
        <v>141</v>
      </c>
      <c r="D47" s="2" t="s">
        <v>144</v>
      </c>
      <c r="E47" s="4">
        <f t="shared" si="0"/>
        <v>0</v>
      </c>
      <c r="R47" s="1"/>
    </row>
    <row r="48" spans="1:18" x14ac:dyDescent="0.25">
      <c r="A48">
        <v>20404</v>
      </c>
      <c r="B48" s="2" t="s">
        <v>116</v>
      </c>
      <c r="C48" s="2" t="s">
        <v>141</v>
      </c>
      <c r="D48" s="2" t="s">
        <v>145</v>
      </c>
      <c r="E48" s="4">
        <f t="shared" si="0"/>
        <v>0</v>
      </c>
      <c r="R48" s="1"/>
    </row>
    <row r="49" spans="1:18" x14ac:dyDescent="0.25">
      <c r="A49">
        <v>20405</v>
      </c>
      <c r="B49" s="2" t="s">
        <v>116</v>
      </c>
      <c r="C49" s="2" t="s">
        <v>141</v>
      </c>
      <c r="D49" s="2" t="s">
        <v>146</v>
      </c>
      <c r="E49" s="4">
        <f t="shared" si="0"/>
        <v>0</v>
      </c>
      <c r="R49" s="1"/>
    </row>
    <row r="50" spans="1:18" x14ac:dyDescent="0.25">
      <c r="A50">
        <v>20406</v>
      </c>
      <c r="B50" s="2" t="s">
        <v>116</v>
      </c>
      <c r="C50" s="2" t="s">
        <v>141</v>
      </c>
      <c r="D50" s="2" t="s">
        <v>147</v>
      </c>
      <c r="E50" s="4">
        <f t="shared" si="0"/>
        <v>0</v>
      </c>
      <c r="R50" s="1"/>
    </row>
    <row r="51" spans="1:18" x14ac:dyDescent="0.25">
      <c r="A51">
        <v>20501</v>
      </c>
      <c r="B51" s="2" t="s">
        <v>116</v>
      </c>
      <c r="C51" s="2" t="s">
        <v>148</v>
      </c>
      <c r="D51" s="2" t="s">
        <v>149</v>
      </c>
      <c r="E51" s="4">
        <f t="shared" si="0"/>
        <v>0</v>
      </c>
      <c r="R51" s="1"/>
    </row>
    <row r="52" spans="1:18" x14ac:dyDescent="0.25">
      <c r="A52">
        <v>20502</v>
      </c>
      <c r="B52" s="2" t="s">
        <v>116</v>
      </c>
      <c r="C52" s="2" t="s">
        <v>148</v>
      </c>
      <c r="D52" s="2" t="s">
        <v>150</v>
      </c>
      <c r="E52" s="4">
        <f t="shared" si="0"/>
        <v>0</v>
      </c>
      <c r="R52" s="1"/>
    </row>
    <row r="53" spans="1:18" x14ac:dyDescent="0.25">
      <c r="A53">
        <v>20503</v>
      </c>
      <c r="B53" s="2" t="s">
        <v>116</v>
      </c>
      <c r="C53" s="2" t="s">
        <v>148</v>
      </c>
      <c r="D53" s="2" t="s">
        <v>151</v>
      </c>
      <c r="E53" s="4">
        <f t="shared" si="0"/>
        <v>0</v>
      </c>
      <c r="R53" s="1"/>
    </row>
    <row r="54" spans="1:18" x14ac:dyDescent="0.25">
      <c r="A54">
        <v>20504</v>
      </c>
      <c r="B54" s="2" t="s">
        <v>116</v>
      </c>
      <c r="C54" s="2" t="s">
        <v>148</v>
      </c>
      <c r="D54" s="2" t="s">
        <v>152</v>
      </c>
      <c r="E54" s="4">
        <f t="shared" si="0"/>
        <v>0</v>
      </c>
      <c r="R54" s="1"/>
    </row>
    <row r="55" spans="1:18" x14ac:dyDescent="0.25">
      <c r="A55">
        <v>20505</v>
      </c>
      <c r="B55" s="2" t="s">
        <v>116</v>
      </c>
      <c r="C55" s="2" t="s">
        <v>148</v>
      </c>
      <c r="D55" s="2" t="s">
        <v>153</v>
      </c>
      <c r="E55" s="4">
        <f t="shared" si="0"/>
        <v>0</v>
      </c>
      <c r="R55" s="1"/>
    </row>
    <row r="56" spans="1:18" x14ac:dyDescent="0.25">
      <c r="A56">
        <v>20601</v>
      </c>
      <c r="B56" s="2" t="s">
        <v>116</v>
      </c>
      <c r="C56" s="2" t="s">
        <v>154</v>
      </c>
      <c r="D56" s="2" t="s">
        <v>155</v>
      </c>
      <c r="E56" s="4">
        <f t="shared" si="0"/>
        <v>0</v>
      </c>
      <c r="R56" s="1"/>
    </row>
    <row r="57" spans="1:18" x14ac:dyDescent="0.25">
      <c r="A57">
        <v>20602</v>
      </c>
      <c r="B57" s="2" t="s">
        <v>116</v>
      </c>
      <c r="C57" s="2" t="s">
        <v>154</v>
      </c>
      <c r="D57" s="2" t="s">
        <v>156</v>
      </c>
      <c r="E57" s="4">
        <f t="shared" si="0"/>
        <v>0</v>
      </c>
      <c r="R57" s="1"/>
    </row>
    <row r="58" spans="1:18" x14ac:dyDescent="0.25">
      <c r="A58">
        <v>20603</v>
      </c>
      <c r="B58" s="2" t="s">
        <v>116</v>
      </c>
      <c r="C58" s="2" t="s">
        <v>154</v>
      </c>
      <c r="D58" s="2" t="s">
        <v>116</v>
      </c>
      <c r="E58" s="4">
        <f t="shared" si="0"/>
        <v>0</v>
      </c>
      <c r="R58" s="1"/>
    </row>
    <row r="59" spans="1:18" x14ac:dyDescent="0.25">
      <c r="A59">
        <v>20604</v>
      </c>
      <c r="B59" s="2" t="s">
        <v>116</v>
      </c>
      <c r="C59" s="2" t="s">
        <v>154</v>
      </c>
      <c r="D59" s="2" t="s">
        <v>157</v>
      </c>
      <c r="E59" s="4">
        <f t="shared" si="0"/>
        <v>0</v>
      </c>
      <c r="R59" s="1"/>
    </row>
    <row r="60" spans="1:18" x14ac:dyDescent="0.25">
      <c r="A60">
        <v>20605</v>
      </c>
      <c r="B60" s="2" t="s">
        <v>116</v>
      </c>
      <c r="C60" s="2" t="s">
        <v>154</v>
      </c>
      <c r="D60" s="2" t="s">
        <v>158</v>
      </c>
      <c r="E60" s="4">
        <f t="shared" si="0"/>
        <v>0</v>
      </c>
      <c r="R60" s="1"/>
    </row>
    <row r="61" spans="1:18" x14ac:dyDescent="0.25">
      <c r="A61">
        <v>20606</v>
      </c>
      <c r="B61" s="2" t="s">
        <v>116</v>
      </c>
      <c r="C61" s="2" t="s">
        <v>154</v>
      </c>
      <c r="D61" s="2" t="s">
        <v>159</v>
      </c>
      <c r="E61" s="4">
        <f t="shared" si="0"/>
        <v>0</v>
      </c>
      <c r="R61" s="1"/>
    </row>
    <row r="62" spans="1:18" x14ac:dyDescent="0.25">
      <c r="A62">
        <v>20607</v>
      </c>
      <c r="B62" s="2" t="s">
        <v>116</v>
      </c>
      <c r="C62" s="2" t="s">
        <v>154</v>
      </c>
      <c r="D62" s="2" t="s">
        <v>160</v>
      </c>
      <c r="E62" s="4">
        <f t="shared" si="0"/>
        <v>0</v>
      </c>
      <c r="R62" s="1"/>
    </row>
    <row r="63" spans="1:18" x14ac:dyDescent="0.25">
      <c r="A63">
        <v>20608</v>
      </c>
      <c r="B63" s="2" t="s">
        <v>116</v>
      </c>
      <c r="C63" s="2" t="s">
        <v>154</v>
      </c>
      <c r="D63" s="2" t="s">
        <v>161</v>
      </c>
      <c r="E63" s="4">
        <f t="shared" si="0"/>
        <v>0</v>
      </c>
      <c r="R63" s="1"/>
    </row>
    <row r="64" spans="1:18" x14ac:dyDescent="0.25">
      <c r="A64">
        <v>20609</v>
      </c>
      <c r="B64" s="2" t="s">
        <v>116</v>
      </c>
      <c r="C64" s="2" t="s">
        <v>154</v>
      </c>
      <c r="D64" s="2" t="s">
        <v>162</v>
      </c>
      <c r="E64" s="4">
        <f t="shared" si="0"/>
        <v>0</v>
      </c>
      <c r="R64" s="1"/>
    </row>
    <row r="65" spans="1:18" x14ac:dyDescent="0.25">
      <c r="A65">
        <v>20610</v>
      </c>
      <c r="B65" s="2" t="s">
        <v>116</v>
      </c>
      <c r="C65" s="2" t="s">
        <v>154</v>
      </c>
      <c r="D65" s="2" t="s">
        <v>163</v>
      </c>
      <c r="E65" s="4">
        <f t="shared" si="0"/>
        <v>0</v>
      </c>
      <c r="R65" s="1"/>
    </row>
    <row r="66" spans="1:18" x14ac:dyDescent="0.25">
      <c r="A66">
        <v>30101</v>
      </c>
      <c r="B66" s="2" t="s">
        <v>164</v>
      </c>
      <c r="C66" s="2" t="s">
        <v>164</v>
      </c>
      <c r="D66" s="2" t="s">
        <v>165</v>
      </c>
      <c r="E66" s="4">
        <f t="shared" si="0"/>
        <v>0</v>
      </c>
      <c r="R66" s="1"/>
    </row>
    <row r="67" spans="1:18" x14ac:dyDescent="0.25">
      <c r="A67">
        <v>30102</v>
      </c>
      <c r="B67" s="2" t="s">
        <v>164</v>
      </c>
      <c r="C67" s="2" t="s">
        <v>164</v>
      </c>
      <c r="D67" s="2" t="s">
        <v>166</v>
      </c>
      <c r="E67" s="4">
        <f t="shared" si="0"/>
        <v>0</v>
      </c>
      <c r="R67" s="1"/>
    </row>
    <row r="68" spans="1:18" x14ac:dyDescent="0.25">
      <c r="A68">
        <v>30103</v>
      </c>
      <c r="B68" s="2" t="s">
        <v>164</v>
      </c>
      <c r="C68" s="2" t="s">
        <v>164</v>
      </c>
      <c r="D68" s="2" t="s">
        <v>167</v>
      </c>
      <c r="E68" s="4">
        <f t="shared" si="0"/>
        <v>0</v>
      </c>
      <c r="R68" s="1"/>
    </row>
    <row r="69" spans="1:18" x14ac:dyDescent="0.25">
      <c r="A69">
        <v>30104</v>
      </c>
      <c r="B69" s="2" t="s">
        <v>164</v>
      </c>
      <c r="C69" s="2" t="s">
        <v>164</v>
      </c>
      <c r="D69" s="2" t="s">
        <v>168</v>
      </c>
      <c r="E69" s="4">
        <f t="shared" ref="E69:E132" si="1">SUM(F69:AEZ69)</f>
        <v>0</v>
      </c>
      <c r="R69" s="1"/>
    </row>
    <row r="70" spans="1:18" x14ac:dyDescent="0.25">
      <c r="A70">
        <v>30105</v>
      </c>
      <c r="B70" s="2" t="s">
        <v>164</v>
      </c>
      <c r="C70" s="2" t="s">
        <v>164</v>
      </c>
      <c r="D70" s="2" t="s">
        <v>169</v>
      </c>
      <c r="E70" s="4">
        <f t="shared" si="1"/>
        <v>0</v>
      </c>
      <c r="R70" s="1"/>
    </row>
    <row r="71" spans="1:18" x14ac:dyDescent="0.25">
      <c r="A71">
        <v>30107</v>
      </c>
      <c r="B71" s="2" t="s">
        <v>164</v>
      </c>
      <c r="C71" s="2" t="s">
        <v>164</v>
      </c>
      <c r="D71" s="2" t="s">
        <v>170</v>
      </c>
      <c r="E71" s="4">
        <f t="shared" si="1"/>
        <v>0</v>
      </c>
      <c r="R71" s="1"/>
    </row>
    <row r="72" spans="1:18" x14ac:dyDescent="0.25">
      <c r="A72">
        <v>30107</v>
      </c>
      <c r="B72" s="2" t="s">
        <v>164</v>
      </c>
      <c r="C72" s="2" t="s">
        <v>164</v>
      </c>
      <c r="D72" s="2" t="s">
        <v>170</v>
      </c>
      <c r="E72" s="4">
        <f t="shared" si="1"/>
        <v>0</v>
      </c>
      <c r="R72" s="1"/>
    </row>
    <row r="73" spans="1:18" x14ac:dyDescent="0.25">
      <c r="A73">
        <v>30108</v>
      </c>
      <c r="B73" s="2" t="s">
        <v>164</v>
      </c>
      <c r="C73" s="2" t="s">
        <v>164</v>
      </c>
      <c r="D73" s="2" t="s">
        <v>171</v>
      </c>
      <c r="E73" s="4">
        <f t="shared" si="1"/>
        <v>0</v>
      </c>
      <c r="R73" s="1"/>
    </row>
    <row r="74" spans="1:18" x14ac:dyDescent="0.25">
      <c r="A74">
        <v>30109</v>
      </c>
      <c r="B74" s="2" t="s">
        <v>164</v>
      </c>
      <c r="C74" s="2" t="s">
        <v>164</v>
      </c>
      <c r="D74" s="2" t="s">
        <v>172</v>
      </c>
      <c r="E74" s="4">
        <f t="shared" si="1"/>
        <v>0</v>
      </c>
      <c r="R74" s="1"/>
    </row>
    <row r="75" spans="1:18" x14ac:dyDescent="0.25">
      <c r="A75">
        <v>30110</v>
      </c>
      <c r="B75" s="2" t="s">
        <v>164</v>
      </c>
      <c r="C75" s="2" t="s">
        <v>164</v>
      </c>
      <c r="D75" s="2" t="s">
        <v>173</v>
      </c>
      <c r="E75" s="4">
        <f t="shared" si="1"/>
        <v>0</v>
      </c>
      <c r="R75" s="1"/>
    </row>
    <row r="76" spans="1:18" x14ac:dyDescent="0.25">
      <c r="A76">
        <v>30111</v>
      </c>
      <c r="B76" s="2" t="s">
        <v>164</v>
      </c>
      <c r="C76" s="2" t="s">
        <v>164</v>
      </c>
      <c r="D76" s="2" t="s">
        <v>174</v>
      </c>
      <c r="E76" s="4">
        <f t="shared" si="1"/>
        <v>0</v>
      </c>
      <c r="R76" s="1"/>
    </row>
    <row r="77" spans="1:18" x14ac:dyDescent="0.25">
      <c r="A77">
        <v>30112</v>
      </c>
      <c r="B77" s="2" t="s">
        <v>164</v>
      </c>
      <c r="C77" s="2" t="s">
        <v>164</v>
      </c>
      <c r="D77" s="2" t="s">
        <v>175</v>
      </c>
      <c r="E77" s="4">
        <f t="shared" si="1"/>
        <v>0</v>
      </c>
      <c r="R77" s="1"/>
    </row>
    <row r="78" spans="1:18" x14ac:dyDescent="0.25">
      <c r="A78">
        <v>30113</v>
      </c>
      <c r="B78" s="2" t="s">
        <v>164</v>
      </c>
      <c r="C78" s="2" t="s">
        <v>164</v>
      </c>
      <c r="D78" s="2" t="s">
        <v>176</v>
      </c>
      <c r="E78" s="4">
        <f t="shared" si="1"/>
        <v>0</v>
      </c>
      <c r="R78" s="1"/>
    </row>
    <row r="79" spans="1:18" x14ac:dyDescent="0.25">
      <c r="A79">
        <v>30114</v>
      </c>
      <c r="B79" s="2" t="s">
        <v>164</v>
      </c>
      <c r="C79" s="2" t="s">
        <v>164</v>
      </c>
      <c r="D79" s="2" t="s">
        <v>177</v>
      </c>
      <c r="E79" s="4">
        <f t="shared" si="1"/>
        <v>0</v>
      </c>
      <c r="R79" s="1"/>
    </row>
    <row r="80" spans="1:18" x14ac:dyDescent="0.25">
      <c r="A80">
        <v>30107</v>
      </c>
      <c r="B80" s="2" t="s">
        <v>164</v>
      </c>
      <c r="C80" s="2" t="s">
        <v>164</v>
      </c>
      <c r="D80" s="2" t="s">
        <v>178</v>
      </c>
      <c r="E80" s="4">
        <f t="shared" si="1"/>
        <v>0</v>
      </c>
      <c r="R80" s="1"/>
    </row>
    <row r="81" spans="1:18" x14ac:dyDescent="0.25">
      <c r="A81">
        <v>30201</v>
      </c>
      <c r="B81" s="2" t="s">
        <v>164</v>
      </c>
      <c r="C81" s="2" t="s">
        <v>179</v>
      </c>
      <c r="D81" s="2" t="s">
        <v>180</v>
      </c>
      <c r="E81" s="4">
        <f t="shared" si="1"/>
        <v>0</v>
      </c>
      <c r="R81" s="1"/>
    </row>
    <row r="82" spans="1:18" x14ac:dyDescent="0.25">
      <c r="A82">
        <v>30202</v>
      </c>
      <c r="B82" s="2" t="s">
        <v>164</v>
      </c>
      <c r="C82" s="2" t="s">
        <v>179</v>
      </c>
      <c r="D82" s="2" t="s">
        <v>181</v>
      </c>
      <c r="E82" s="4">
        <f t="shared" si="1"/>
        <v>0</v>
      </c>
      <c r="R82" s="1"/>
    </row>
    <row r="83" spans="1:18" x14ac:dyDescent="0.25">
      <c r="A83">
        <v>30203</v>
      </c>
      <c r="B83" s="2" t="s">
        <v>164</v>
      </c>
      <c r="C83" s="2" t="s">
        <v>179</v>
      </c>
      <c r="D83" s="2" t="s">
        <v>182</v>
      </c>
      <c r="E83" s="4">
        <f t="shared" si="1"/>
        <v>0</v>
      </c>
      <c r="R83" s="1"/>
    </row>
    <row r="84" spans="1:18" x14ac:dyDescent="0.25">
      <c r="A84">
        <v>30204</v>
      </c>
      <c r="B84" s="2" t="s">
        <v>164</v>
      </c>
      <c r="C84" s="2" t="s">
        <v>179</v>
      </c>
      <c r="D84" s="2" t="s">
        <v>183</v>
      </c>
      <c r="E84" s="4">
        <f t="shared" si="1"/>
        <v>0</v>
      </c>
      <c r="R84" s="1"/>
    </row>
    <row r="85" spans="1:18" x14ac:dyDescent="0.25">
      <c r="A85">
        <v>30205</v>
      </c>
      <c r="B85" s="2" t="s">
        <v>164</v>
      </c>
      <c r="C85" s="2" t="s">
        <v>179</v>
      </c>
      <c r="D85" s="2" t="s">
        <v>184</v>
      </c>
      <c r="E85" s="4">
        <f t="shared" si="1"/>
        <v>0</v>
      </c>
      <c r="R85" s="1"/>
    </row>
    <row r="86" spans="1:18" x14ac:dyDescent="0.25">
      <c r="A86">
        <v>30206</v>
      </c>
      <c r="B86" s="2" t="s">
        <v>164</v>
      </c>
      <c r="C86" s="2" t="s">
        <v>179</v>
      </c>
      <c r="D86" s="2" t="s">
        <v>185</v>
      </c>
      <c r="E86" s="4">
        <f t="shared" si="1"/>
        <v>0</v>
      </c>
      <c r="R86" s="1"/>
    </row>
    <row r="87" spans="1:18" x14ac:dyDescent="0.25">
      <c r="A87">
        <v>30207</v>
      </c>
      <c r="B87" s="2" t="s">
        <v>164</v>
      </c>
      <c r="C87" s="2" t="s">
        <v>179</v>
      </c>
      <c r="D87" s="2" t="s">
        <v>186</v>
      </c>
      <c r="E87" s="4">
        <f t="shared" si="1"/>
        <v>0</v>
      </c>
      <c r="R87" s="1"/>
    </row>
    <row r="88" spans="1:18" ht="24" x14ac:dyDescent="0.25">
      <c r="A88">
        <v>30301</v>
      </c>
      <c r="B88" s="2" t="s">
        <v>164</v>
      </c>
      <c r="C88" s="2" t="s">
        <v>187</v>
      </c>
      <c r="D88" s="2" t="s">
        <v>188</v>
      </c>
      <c r="E88" s="4">
        <f t="shared" si="1"/>
        <v>0</v>
      </c>
      <c r="R88" s="1"/>
    </row>
    <row r="89" spans="1:18" x14ac:dyDescent="0.25">
      <c r="A89">
        <v>30302</v>
      </c>
      <c r="B89" s="2" t="s">
        <v>164</v>
      </c>
      <c r="C89" s="2" t="s">
        <v>187</v>
      </c>
      <c r="D89" s="2" t="s">
        <v>189</v>
      </c>
      <c r="E89" s="4">
        <f t="shared" si="1"/>
        <v>0</v>
      </c>
      <c r="R89" s="1"/>
    </row>
    <row r="90" spans="1:18" x14ac:dyDescent="0.25">
      <c r="A90">
        <v>30303</v>
      </c>
      <c r="B90" s="2" t="s">
        <v>164</v>
      </c>
      <c r="C90" s="2" t="s">
        <v>187</v>
      </c>
      <c r="D90" s="2" t="s">
        <v>190</v>
      </c>
      <c r="E90" s="4">
        <f t="shared" si="1"/>
        <v>0</v>
      </c>
      <c r="R90" s="1"/>
    </row>
    <row r="91" spans="1:18" x14ac:dyDescent="0.25">
      <c r="A91">
        <v>30304</v>
      </c>
      <c r="B91" s="2" t="s">
        <v>164</v>
      </c>
      <c r="C91" s="2" t="s">
        <v>187</v>
      </c>
      <c r="D91" s="2" t="s">
        <v>191</v>
      </c>
      <c r="E91" s="4">
        <f t="shared" si="1"/>
        <v>0</v>
      </c>
      <c r="R91" s="1"/>
    </row>
    <row r="92" spans="1:18" x14ac:dyDescent="0.25">
      <c r="A92">
        <v>30305</v>
      </c>
      <c r="B92" s="2" t="s">
        <v>164</v>
      </c>
      <c r="C92" s="2" t="s">
        <v>187</v>
      </c>
      <c r="D92" s="2" t="s">
        <v>161</v>
      </c>
      <c r="E92" s="4">
        <f t="shared" si="1"/>
        <v>0</v>
      </c>
    </row>
    <row r="93" spans="1:18" x14ac:dyDescent="0.25">
      <c r="A93">
        <v>30401</v>
      </c>
      <c r="B93" s="2" t="s">
        <v>164</v>
      </c>
      <c r="C93" s="2" t="s">
        <v>192</v>
      </c>
      <c r="D93" s="2" t="s">
        <v>193</v>
      </c>
      <c r="E93" s="4">
        <f t="shared" si="1"/>
        <v>0</v>
      </c>
    </row>
    <row r="94" spans="1:18" x14ac:dyDescent="0.25">
      <c r="A94">
        <v>30402</v>
      </c>
      <c r="B94" s="2" t="s">
        <v>164</v>
      </c>
      <c r="C94" s="2" t="s">
        <v>192</v>
      </c>
      <c r="D94" s="2" t="s">
        <v>194</v>
      </c>
      <c r="E94" s="4">
        <f t="shared" si="1"/>
        <v>0</v>
      </c>
    </row>
    <row r="95" spans="1:18" x14ac:dyDescent="0.25">
      <c r="A95">
        <v>30403</v>
      </c>
      <c r="B95" s="2" t="s">
        <v>164</v>
      </c>
      <c r="C95" s="2" t="s">
        <v>192</v>
      </c>
      <c r="D95" s="2" t="s">
        <v>195</v>
      </c>
      <c r="E95" s="4">
        <f t="shared" si="1"/>
        <v>0</v>
      </c>
    </row>
    <row r="96" spans="1:18" x14ac:dyDescent="0.25">
      <c r="A96">
        <v>30404</v>
      </c>
      <c r="B96" s="2" t="s">
        <v>164</v>
      </c>
      <c r="C96" s="2" t="s">
        <v>192</v>
      </c>
      <c r="D96" s="2" t="s">
        <v>196</v>
      </c>
      <c r="E96" s="4">
        <f t="shared" si="1"/>
        <v>0</v>
      </c>
    </row>
    <row r="97" spans="1:5" x14ac:dyDescent="0.25">
      <c r="A97">
        <v>30405</v>
      </c>
      <c r="B97" s="2" t="s">
        <v>164</v>
      </c>
      <c r="C97" s="2" t="s">
        <v>192</v>
      </c>
      <c r="D97" s="2" t="s">
        <v>197</v>
      </c>
      <c r="E97" s="4">
        <f t="shared" si="1"/>
        <v>0</v>
      </c>
    </row>
    <row r="98" spans="1:5" x14ac:dyDescent="0.25">
      <c r="A98">
        <v>30501</v>
      </c>
      <c r="B98" s="2" t="s">
        <v>164</v>
      </c>
      <c r="C98" s="2" t="s">
        <v>198</v>
      </c>
      <c r="D98" s="2" t="s">
        <v>199</v>
      </c>
      <c r="E98" s="4">
        <f t="shared" si="1"/>
        <v>0</v>
      </c>
    </row>
    <row r="99" spans="1:5" x14ac:dyDescent="0.25">
      <c r="A99">
        <v>30502</v>
      </c>
      <c r="B99" s="2" t="s">
        <v>164</v>
      </c>
      <c r="C99" s="2" t="s">
        <v>198</v>
      </c>
      <c r="D99" s="2" t="s">
        <v>200</v>
      </c>
      <c r="E99" s="4">
        <f t="shared" si="1"/>
        <v>0</v>
      </c>
    </row>
    <row r="100" spans="1:5" x14ac:dyDescent="0.25">
      <c r="A100">
        <v>30503</v>
      </c>
      <c r="B100" s="2" t="s">
        <v>164</v>
      </c>
      <c r="C100" s="2" t="s">
        <v>198</v>
      </c>
      <c r="D100" s="2" t="s">
        <v>111</v>
      </c>
      <c r="E100" s="4">
        <f t="shared" si="1"/>
        <v>0</v>
      </c>
    </row>
    <row r="101" spans="1:5" x14ac:dyDescent="0.25">
      <c r="A101">
        <v>30504</v>
      </c>
      <c r="B101" s="2" t="s">
        <v>164</v>
      </c>
      <c r="C101" s="2" t="s">
        <v>198</v>
      </c>
      <c r="D101" s="2" t="s">
        <v>201</v>
      </c>
      <c r="E101" s="4">
        <f t="shared" si="1"/>
        <v>0</v>
      </c>
    </row>
    <row r="102" spans="1:5" x14ac:dyDescent="0.25">
      <c r="A102">
        <v>30505</v>
      </c>
      <c r="B102" s="2" t="s">
        <v>164</v>
      </c>
      <c r="C102" s="2" t="s">
        <v>198</v>
      </c>
      <c r="D102" s="2" t="s">
        <v>202</v>
      </c>
      <c r="E102" s="4">
        <f t="shared" si="1"/>
        <v>0</v>
      </c>
    </row>
    <row r="103" spans="1:5" x14ac:dyDescent="0.25">
      <c r="A103">
        <v>30506</v>
      </c>
      <c r="B103" s="2" t="s">
        <v>164</v>
      </c>
      <c r="C103" s="2" t="s">
        <v>198</v>
      </c>
      <c r="D103" s="2" t="s">
        <v>203</v>
      </c>
      <c r="E103" s="4">
        <f t="shared" si="1"/>
        <v>0</v>
      </c>
    </row>
    <row r="104" spans="1:5" x14ac:dyDescent="0.25">
      <c r="A104">
        <v>30507</v>
      </c>
      <c r="B104" s="2" t="s">
        <v>164</v>
      </c>
      <c r="C104" s="2" t="s">
        <v>198</v>
      </c>
      <c r="D104" s="2" t="s">
        <v>198</v>
      </c>
      <c r="E104" s="4">
        <f t="shared" si="1"/>
        <v>0</v>
      </c>
    </row>
    <row r="105" spans="1:5" x14ac:dyDescent="0.25">
      <c r="A105">
        <v>30508</v>
      </c>
      <c r="B105" s="2" t="s">
        <v>164</v>
      </c>
      <c r="C105" s="2" t="s">
        <v>198</v>
      </c>
      <c r="D105" s="2" t="s">
        <v>204</v>
      </c>
      <c r="E105" s="4">
        <f t="shared" si="1"/>
        <v>0</v>
      </c>
    </row>
    <row r="106" spans="1:5" x14ac:dyDescent="0.25">
      <c r="A106">
        <v>40101</v>
      </c>
      <c r="B106" s="2" t="s">
        <v>205</v>
      </c>
      <c r="C106" s="2" t="s">
        <v>206</v>
      </c>
      <c r="D106" s="2" t="s">
        <v>207</v>
      </c>
      <c r="E106" s="4">
        <f t="shared" si="1"/>
        <v>0</v>
      </c>
    </row>
    <row r="107" spans="1:5" x14ac:dyDescent="0.25">
      <c r="A107">
        <v>40102</v>
      </c>
      <c r="B107" s="2" t="s">
        <v>205</v>
      </c>
      <c r="C107" s="2" t="s">
        <v>206</v>
      </c>
      <c r="D107" s="2" t="s">
        <v>208</v>
      </c>
      <c r="E107" s="4">
        <f t="shared" si="1"/>
        <v>0</v>
      </c>
    </row>
    <row r="108" spans="1:5" x14ac:dyDescent="0.25">
      <c r="A108">
        <v>40103</v>
      </c>
      <c r="B108" s="2" t="s">
        <v>205</v>
      </c>
      <c r="C108" s="2" t="s">
        <v>206</v>
      </c>
      <c r="D108" s="2" t="s">
        <v>209</v>
      </c>
      <c r="E108" s="4">
        <f t="shared" si="1"/>
        <v>0</v>
      </c>
    </row>
    <row r="109" spans="1:5" x14ac:dyDescent="0.25">
      <c r="A109">
        <v>40104</v>
      </c>
      <c r="B109" s="2" t="s">
        <v>205</v>
      </c>
      <c r="C109" s="2" t="s">
        <v>206</v>
      </c>
      <c r="D109" s="2" t="s">
        <v>210</v>
      </c>
      <c r="E109" s="4">
        <f t="shared" si="1"/>
        <v>0</v>
      </c>
    </row>
    <row r="110" spans="1:5" x14ac:dyDescent="0.25">
      <c r="A110">
        <v>40105</v>
      </c>
      <c r="B110" s="2" t="s">
        <v>205</v>
      </c>
      <c r="C110" s="2" t="s">
        <v>206</v>
      </c>
      <c r="D110" s="2" t="s">
        <v>211</v>
      </c>
      <c r="E110" s="4">
        <f t="shared" si="1"/>
        <v>0</v>
      </c>
    </row>
    <row r="111" spans="1:5" x14ac:dyDescent="0.25">
      <c r="A111">
        <v>40106</v>
      </c>
      <c r="B111" s="2" t="s">
        <v>205</v>
      </c>
      <c r="C111" s="2" t="s">
        <v>206</v>
      </c>
      <c r="D111" s="2" t="s">
        <v>212</v>
      </c>
      <c r="E111" s="4">
        <f t="shared" si="1"/>
        <v>0</v>
      </c>
    </row>
    <row r="112" spans="1:5" x14ac:dyDescent="0.25">
      <c r="A112">
        <v>40107</v>
      </c>
      <c r="B112" s="2" t="s">
        <v>205</v>
      </c>
      <c r="C112" s="2" t="s">
        <v>206</v>
      </c>
      <c r="D112" s="2" t="s">
        <v>213</v>
      </c>
      <c r="E112" s="4">
        <f t="shared" si="1"/>
        <v>0</v>
      </c>
    </row>
    <row r="113" spans="1:5" x14ac:dyDescent="0.25">
      <c r="A113">
        <v>40108</v>
      </c>
      <c r="B113" s="2" t="s">
        <v>205</v>
      </c>
      <c r="C113" s="2" t="s">
        <v>206</v>
      </c>
      <c r="D113" s="2" t="s">
        <v>214</v>
      </c>
      <c r="E113" s="4">
        <f t="shared" si="1"/>
        <v>0</v>
      </c>
    </row>
    <row r="114" spans="1:5" x14ac:dyDescent="0.25">
      <c r="A114">
        <v>40109</v>
      </c>
      <c r="B114" s="2" t="s">
        <v>205</v>
      </c>
      <c r="C114" s="2" t="s">
        <v>206</v>
      </c>
      <c r="D114" s="2" t="s">
        <v>215</v>
      </c>
      <c r="E114" s="4">
        <f t="shared" si="1"/>
        <v>0</v>
      </c>
    </row>
    <row r="115" spans="1:5" ht="24" x14ac:dyDescent="0.25">
      <c r="A115">
        <v>40201</v>
      </c>
      <c r="B115" s="2" t="s">
        <v>205</v>
      </c>
      <c r="C115" s="2" t="s">
        <v>216</v>
      </c>
      <c r="D115" s="2" t="s">
        <v>217</v>
      </c>
      <c r="E115" s="4">
        <f t="shared" si="1"/>
        <v>0</v>
      </c>
    </row>
    <row r="116" spans="1:5" x14ac:dyDescent="0.25">
      <c r="A116">
        <v>40202</v>
      </c>
      <c r="B116" s="2" t="s">
        <v>205</v>
      </c>
      <c r="C116" s="2" t="s">
        <v>216</v>
      </c>
      <c r="D116" s="2" t="s">
        <v>218</v>
      </c>
      <c r="E116" s="4">
        <f t="shared" si="1"/>
        <v>0</v>
      </c>
    </row>
    <row r="117" spans="1:5" x14ac:dyDescent="0.25">
      <c r="A117">
        <v>40203</v>
      </c>
      <c r="B117" s="2" t="s">
        <v>205</v>
      </c>
      <c r="C117" s="2" t="s">
        <v>216</v>
      </c>
      <c r="D117" s="2" t="s">
        <v>219</v>
      </c>
      <c r="E117" s="4">
        <f t="shared" si="1"/>
        <v>0</v>
      </c>
    </row>
    <row r="118" spans="1:5" x14ac:dyDescent="0.25">
      <c r="A118">
        <v>40204</v>
      </c>
      <c r="B118" s="2" t="s">
        <v>205</v>
      </c>
      <c r="C118" s="2" t="s">
        <v>216</v>
      </c>
      <c r="D118" s="2" t="s">
        <v>220</v>
      </c>
      <c r="E118" s="4">
        <f t="shared" si="1"/>
        <v>0</v>
      </c>
    </row>
    <row r="119" spans="1:5" x14ac:dyDescent="0.25">
      <c r="A119">
        <v>40205</v>
      </c>
      <c r="B119" s="2" t="s">
        <v>205</v>
      </c>
      <c r="C119" s="2" t="s">
        <v>216</v>
      </c>
      <c r="D119" s="2" t="s">
        <v>221</v>
      </c>
      <c r="E119" s="4">
        <f t="shared" si="1"/>
        <v>0</v>
      </c>
    </row>
    <row r="120" spans="1:5" x14ac:dyDescent="0.25">
      <c r="A120">
        <v>40301</v>
      </c>
      <c r="B120" s="2" t="s">
        <v>205</v>
      </c>
      <c r="C120" s="2" t="s">
        <v>222</v>
      </c>
      <c r="D120" s="2" t="s">
        <v>223</v>
      </c>
      <c r="E120" s="4">
        <f t="shared" si="1"/>
        <v>0</v>
      </c>
    </row>
    <row r="121" spans="1:5" x14ac:dyDescent="0.25">
      <c r="A121">
        <v>40302</v>
      </c>
      <c r="B121" s="2" t="s">
        <v>205</v>
      </c>
      <c r="C121" s="2" t="s">
        <v>222</v>
      </c>
      <c r="D121" s="2" t="s">
        <v>224</v>
      </c>
      <c r="E121" s="4">
        <f t="shared" si="1"/>
        <v>0</v>
      </c>
    </row>
    <row r="122" spans="1:5" x14ac:dyDescent="0.25">
      <c r="A122">
        <v>40303</v>
      </c>
      <c r="B122" s="2" t="s">
        <v>205</v>
      </c>
      <c r="C122" s="2" t="s">
        <v>222</v>
      </c>
      <c r="D122" s="2" t="s">
        <v>225</v>
      </c>
      <c r="E122" s="4">
        <f t="shared" si="1"/>
        <v>0</v>
      </c>
    </row>
    <row r="123" spans="1:5" x14ac:dyDescent="0.25">
      <c r="A123">
        <v>40304</v>
      </c>
      <c r="B123" s="2" t="s">
        <v>205</v>
      </c>
      <c r="C123" s="2" t="s">
        <v>222</v>
      </c>
      <c r="D123" s="2" t="s">
        <v>226</v>
      </c>
      <c r="E123" s="4">
        <f t="shared" si="1"/>
        <v>0</v>
      </c>
    </row>
    <row r="124" spans="1:5" x14ac:dyDescent="0.25">
      <c r="A124">
        <v>40305</v>
      </c>
      <c r="B124" s="2" t="s">
        <v>205</v>
      </c>
      <c r="C124" s="2" t="s">
        <v>222</v>
      </c>
      <c r="D124" s="2" t="s">
        <v>227</v>
      </c>
      <c r="E124" s="4">
        <f t="shared" si="1"/>
        <v>0</v>
      </c>
    </row>
    <row r="125" spans="1:5" x14ac:dyDescent="0.25">
      <c r="A125">
        <v>40306</v>
      </c>
      <c r="B125" s="2" t="s">
        <v>205</v>
      </c>
      <c r="C125" s="2" t="s">
        <v>222</v>
      </c>
      <c r="D125" s="2" t="s">
        <v>228</v>
      </c>
      <c r="E125" s="4">
        <f t="shared" si="1"/>
        <v>0</v>
      </c>
    </row>
    <row r="126" spans="1:5" x14ac:dyDescent="0.25">
      <c r="A126">
        <v>40307</v>
      </c>
      <c r="B126" s="2" t="s">
        <v>205</v>
      </c>
      <c r="C126" s="2" t="s">
        <v>222</v>
      </c>
      <c r="D126" s="2" t="s">
        <v>229</v>
      </c>
      <c r="E126" s="4">
        <f t="shared" si="1"/>
        <v>0</v>
      </c>
    </row>
    <row r="127" spans="1:5" x14ac:dyDescent="0.25">
      <c r="A127">
        <v>40308</v>
      </c>
      <c r="B127" s="2" t="s">
        <v>205</v>
      </c>
      <c r="C127" s="2" t="s">
        <v>222</v>
      </c>
      <c r="D127" s="2" t="s">
        <v>230</v>
      </c>
      <c r="E127" s="4">
        <f t="shared" si="1"/>
        <v>0</v>
      </c>
    </row>
    <row r="128" spans="1:5" x14ac:dyDescent="0.25">
      <c r="A128">
        <v>40401</v>
      </c>
      <c r="B128" s="2" t="s">
        <v>205</v>
      </c>
      <c r="C128" s="2" t="s">
        <v>231</v>
      </c>
      <c r="D128" s="2" t="s">
        <v>232</v>
      </c>
      <c r="E128" s="4">
        <f t="shared" si="1"/>
        <v>0</v>
      </c>
    </row>
    <row r="129" spans="1:5" x14ac:dyDescent="0.25">
      <c r="A129">
        <v>40402</v>
      </c>
      <c r="B129" s="2" t="s">
        <v>205</v>
      </c>
      <c r="C129" s="2" t="s">
        <v>231</v>
      </c>
      <c r="D129" s="2" t="s">
        <v>233</v>
      </c>
      <c r="E129" s="4">
        <f t="shared" si="1"/>
        <v>0</v>
      </c>
    </row>
    <row r="130" spans="1:5" x14ac:dyDescent="0.25">
      <c r="A130">
        <v>40403</v>
      </c>
      <c r="B130" s="2" t="s">
        <v>205</v>
      </c>
      <c r="C130" s="2" t="s">
        <v>231</v>
      </c>
      <c r="D130" s="2" t="s">
        <v>202</v>
      </c>
      <c r="E130" s="4">
        <f t="shared" si="1"/>
        <v>0</v>
      </c>
    </row>
    <row r="131" spans="1:5" x14ac:dyDescent="0.25">
      <c r="A131">
        <v>40404</v>
      </c>
      <c r="B131" s="2" t="s">
        <v>205</v>
      </c>
      <c r="C131" s="2" t="s">
        <v>231</v>
      </c>
      <c r="D131" s="2" t="s">
        <v>234</v>
      </c>
      <c r="E131" s="4">
        <f t="shared" si="1"/>
        <v>0</v>
      </c>
    </row>
    <row r="132" spans="1:5" x14ac:dyDescent="0.25">
      <c r="A132">
        <v>40405</v>
      </c>
      <c r="B132" s="2" t="s">
        <v>205</v>
      </c>
      <c r="C132" s="2" t="s">
        <v>231</v>
      </c>
      <c r="D132" s="2" t="s">
        <v>235</v>
      </c>
      <c r="E132" s="4">
        <f t="shared" si="1"/>
        <v>0</v>
      </c>
    </row>
    <row r="133" spans="1:5" x14ac:dyDescent="0.25">
      <c r="A133">
        <v>40406</v>
      </c>
      <c r="B133" s="2" t="s">
        <v>205</v>
      </c>
      <c r="C133" s="2" t="s">
        <v>231</v>
      </c>
      <c r="D133" s="2" t="s">
        <v>236</v>
      </c>
      <c r="E133" s="4">
        <f t="shared" ref="E133:E196" si="2">SUM(F133:AEZ133)</f>
        <v>0</v>
      </c>
    </row>
    <row r="134" spans="1:5" x14ac:dyDescent="0.25">
      <c r="A134">
        <v>40501</v>
      </c>
      <c r="B134" s="2" t="s">
        <v>205</v>
      </c>
      <c r="C134" s="2" t="s">
        <v>237</v>
      </c>
      <c r="D134" s="2" t="s">
        <v>238</v>
      </c>
      <c r="E134" s="4">
        <f t="shared" si="2"/>
        <v>0</v>
      </c>
    </row>
    <row r="135" spans="1:5" x14ac:dyDescent="0.25">
      <c r="A135">
        <v>40502</v>
      </c>
      <c r="B135" s="2" t="s">
        <v>205</v>
      </c>
      <c r="C135" s="2" t="s">
        <v>237</v>
      </c>
      <c r="D135" s="2" t="s">
        <v>239</v>
      </c>
      <c r="E135" s="4">
        <f t="shared" si="2"/>
        <v>0</v>
      </c>
    </row>
    <row r="136" spans="1:5" x14ac:dyDescent="0.25">
      <c r="A136">
        <v>40503</v>
      </c>
      <c r="B136" s="2" t="s">
        <v>205</v>
      </c>
      <c r="C136" s="2" t="s">
        <v>237</v>
      </c>
      <c r="D136" s="2" t="s">
        <v>237</v>
      </c>
      <c r="E136" s="4">
        <f t="shared" si="2"/>
        <v>0</v>
      </c>
    </row>
    <row r="137" spans="1:5" x14ac:dyDescent="0.25">
      <c r="A137">
        <v>40505</v>
      </c>
      <c r="B137" s="2" t="s">
        <v>205</v>
      </c>
      <c r="C137" s="2" t="s">
        <v>237</v>
      </c>
      <c r="D137" s="2" t="s">
        <v>240</v>
      </c>
      <c r="E137" s="4">
        <f t="shared" si="2"/>
        <v>0</v>
      </c>
    </row>
    <row r="138" spans="1:5" x14ac:dyDescent="0.25">
      <c r="A138">
        <v>40506</v>
      </c>
      <c r="B138" s="2" t="s">
        <v>205</v>
      </c>
      <c r="C138" s="2" t="s">
        <v>237</v>
      </c>
      <c r="D138" s="2" t="s">
        <v>241</v>
      </c>
      <c r="E138" s="4">
        <f t="shared" si="2"/>
        <v>0</v>
      </c>
    </row>
    <row r="139" spans="1:5" x14ac:dyDescent="0.25">
      <c r="A139">
        <v>40507</v>
      </c>
      <c r="B139" s="2" t="s">
        <v>205</v>
      </c>
      <c r="C139" s="2" t="s">
        <v>237</v>
      </c>
      <c r="D139" s="2" t="s">
        <v>242</v>
      </c>
      <c r="E139" s="4">
        <f t="shared" si="2"/>
        <v>0</v>
      </c>
    </row>
    <row r="140" spans="1:5" x14ac:dyDescent="0.25">
      <c r="A140">
        <v>40508</v>
      </c>
      <c r="B140" s="2" t="s">
        <v>205</v>
      </c>
      <c r="C140" s="2" t="s">
        <v>237</v>
      </c>
      <c r="D140" s="2" t="s">
        <v>243</v>
      </c>
      <c r="E140" s="4">
        <f t="shared" si="2"/>
        <v>0</v>
      </c>
    </row>
    <row r="141" spans="1:5" x14ac:dyDescent="0.25">
      <c r="A141">
        <v>40509</v>
      </c>
      <c r="B141" s="2" t="s">
        <v>205</v>
      </c>
      <c r="C141" s="2" t="s">
        <v>237</v>
      </c>
      <c r="D141" s="2" t="s">
        <v>177</v>
      </c>
      <c r="E141" s="4">
        <f t="shared" si="2"/>
        <v>0</v>
      </c>
    </row>
    <row r="142" spans="1:5" x14ac:dyDescent="0.25">
      <c r="A142">
        <v>40510</v>
      </c>
      <c r="B142" s="2" t="s">
        <v>205</v>
      </c>
      <c r="C142" s="2" t="s">
        <v>237</v>
      </c>
      <c r="D142" s="2" t="s">
        <v>244</v>
      </c>
      <c r="E142" s="4">
        <f t="shared" si="2"/>
        <v>0</v>
      </c>
    </row>
    <row r="143" spans="1:5" x14ac:dyDescent="0.25">
      <c r="A143">
        <v>40511</v>
      </c>
      <c r="B143" s="2" t="s">
        <v>205</v>
      </c>
      <c r="C143" s="2" t="s">
        <v>237</v>
      </c>
      <c r="D143" s="2" t="s">
        <v>245</v>
      </c>
      <c r="E143" s="4">
        <f t="shared" si="2"/>
        <v>0</v>
      </c>
    </row>
    <row r="144" spans="1:5" x14ac:dyDescent="0.25">
      <c r="A144">
        <v>40513</v>
      </c>
      <c r="B144" s="2" t="s">
        <v>205</v>
      </c>
      <c r="C144" s="2" t="s">
        <v>237</v>
      </c>
      <c r="D144" s="2" t="s">
        <v>246</v>
      </c>
      <c r="E144" s="4">
        <f t="shared" si="2"/>
        <v>0</v>
      </c>
    </row>
    <row r="145" spans="1:5" x14ac:dyDescent="0.25">
      <c r="A145">
        <v>40601</v>
      </c>
      <c r="B145" s="2" t="s">
        <v>205</v>
      </c>
      <c r="C145" s="2" t="s">
        <v>247</v>
      </c>
      <c r="D145" s="2" t="s">
        <v>248</v>
      </c>
      <c r="E145" s="4">
        <f t="shared" si="2"/>
        <v>0</v>
      </c>
    </row>
    <row r="146" spans="1:5" x14ac:dyDescent="0.25">
      <c r="A146">
        <v>40602</v>
      </c>
      <c r="B146" s="2" t="s">
        <v>205</v>
      </c>
      <c r="C146" s="2" t="s">
        <v>247</v>
      </c>
      <c r="D146" s="2" t="s">
        <v>249</v>
      </c>
      <c r="E146" s="4">
        <f t="shared" si="2"/>
        <v>0</v>
      </c>
    </row>
    <row r="147" spans="1:5" x14ac:dyDescent="0.25">
      <c r="A147">
        <v>40603</v>
      </c>
      <c r="B147" s="2" t="s">
        <v>205</v>
      </c>
      <c r="C147" s="2" t="s">
        <v>247</v>
      </c>
      <c r="D147" s="2" t="s">
        <v>250</v>
      </c>
      <c r="E147" s="4">
        <f t="shared" si="2"/>
        <v>0</v>
      </c>
    </row>
    <row r="148" spans="1:5" x14ac:dyDescent="0.25">
      <c r="A148">
        <v>40604</v>
      </c>
      <c r="B148" s="2" t="s">
        <v>205</v>
      </c>
      <c r="C148" s="2" t="s">
        <v>247</v>
      </c>
      <c r="D148" s="2" t="s">
        <v>205</v>
      </c>
      <c r="E148" s="4">
        <f t="shared" si="2"/>
        <v>0</v>
      </c>
    </row>
    <row r="149" spans="1:5" x14ac:dyDescent="0.25">
      <c r="A149">
        <v>40605</v>
      </c>
      <c r="B149" s="2" t="s">
        <v>205</v>
      </c>
      <c r="C149" s="2" t="s">
        <v>247</v>
      </c>
      <c r="D149" s="2" t="s">
        <v>251</v>
      </c>
      <c r="E149" s="4">
        <f t="shared" si="2"/>
        <v>0</v>
      </c>
    </row>
    <row r="150" spans="1:5" x14ac:dyDescent="0.25">
      <c r="A150">
        <v>40606</v>
      </c>
      <c r="B150" s="2" t="s">
        <v>205</v>
      </c>
      <c r="C150" s="2" t="s">
        <v>247</v>
      </c>
      <c r="D150" s="2" t="s">
        <v>140</v>
      </c>
      <c r="E150" s="4">
        <f t="shared" si="2"/>
        <v>0</v>
      </c>
    </row>
    <row r="151" spans="1:5" x14ac:dyDescent="0.25">
      <c r="A151">
        <v>40607</v>
      </c>
      <c r="B151" s="2" t="s">
        <v>205</v>
      </c>
      <c r="C151" s="2" t="s">
        <v>247</v>
      </c>
      <c r="D151" s="2" t="s">
        <v>229</v>
      </c>
      <c r="E151" s="4">
        <f t="shared" si="2"/>
        <v>0</v>
      </c>
    </row>
    <row r="152" spans="1:5" x14ac:dyDescent="0.25">
      <c r="A152">
        <v>40608</v>
      </c>
      <c r="B152" s="2" t="s">
        <v>205</v>
      </c>
      <c r="C152" s="2" t="s">
        <v>247</v>
      </c>
      <c r="D152" s="2" t="s">
        <v>252</v>
      </c>
      <c r="E152" s="4">
        <f t="shared" si="2"/>
        <v>0</v>
      </c>
    </row>
    <row r="153" spans="1:5" x14ac:dyDescent="0.25">
      <c r="A153">
        <v>40609</v>
      </c>
      <c r="B153" s="2" t="s">
        <v>205</v>
      </c>
      <c r="C153" s="2" t="s">
        <v>247</v>
      </c>
      <c r="D153" s="2" t="s">
        <v>253</v>
      </c>
      <c r="E153" s="4">
        <f t="shared" si="2"/>
        <v>0</v>
      </c>
    </row>
    <row r="154" spans="1:5" x14ac:dyDescent="0.25">
      <c r="A154">
        <v>40610</v>
      </c>
      <c r="B154" s="2" t="s">
        <v>205</v>
      </c>
      <c r="C154" s="2" t="s">
        <v>247</v>
      </c>
      <c r="D154" s="2" t="s">
        <v>254</v>
      </c>
      <c r="E154" s="4">
        <f t="shared" si="2"/>
        <v>0</v>
      </c>
    </row>
    <row r="155" spans="1:5" x14ac:dyDescent="0.25">
      <c r="A155">
        <v>40701</v>
      </c>
      <c r="B155" s="2" t="s">
        <v>205</v>
      </c>
      <c r="C155" s="2" t="s">
        <v>255</v>
      </c>
      <c r="D155" s="2" t="s">
        <v>256</v>
      </c>
      <c r="E155" s="4">
        <f t="shared" si="2"/>
        <v>0</v>
      </c>
    </row>
    <row r="156" spans="1:5" x14ac:dyDescent="0.25">
      <c r="A156">
        <v>40702</v>
      </c>
      <c r="B156" s="2" t="s">
        <v>205</v>
      </c>
      <c r="C156" s="2" t="s">
        <v>255</v>
      </c>
      <c r="D156" s="2" t="s">
        <v>257</v>
      </c>
      <c r="E156" s="4">
        <f t="shared" si="2"/>
        <v>0</v>
      </c>
    </row>
    <row r="157" spans="1:5" x14ac:dyDescent="0.25">
      <c r="A157">
        <v>40703</v>
      </c>
      <c r="B157" s="2" t="s">
        <v>205</v>
      </c>
      <c r="C157" s="2" t="s">
        <v>255</v>
      </c>
      <c r="D157" s="2" t="s">
        <v>258</v>
      </c>
      <c r="E157" s="4">
        <f t="shared" si="2"/>
        <v>0</v>
      </c>
    </row>
    <row r="158" spans="1:5" x14ac:dyDescent="0.25">
      <c r="A158">
        <v>40704</v>
      </c>
      <c r="B158" s="2" t="s">
        <v>205</v>
      </c>
      <c r="C158" s="2" t="s">
        <v>255</v>
      </c>
      <c r="D158" s="2" t="s">
        <v>259</v>
      </c>
      <c r="E158" s="4">
        <f t="shared" si="2"/>
        <v>0</v>
      </c>
    </row>
    <row r="159" spans="1:5" x14ac:dyDescent="0.25">
      <c r="A159">
        <v>40705</v>
      </c>
      <c r="B159" s="2" t="s">
        <v>205</v>
      </c>
      <c r="C159" s="2" t="s">
        <v>255</v>
      </c>
      <c r="D159" s="2" t="s">
        <v>260</v>
      </c>
      <c r="E159" s="4">
        <f t="shared" si="2"/>
        <v>0</v>
      </c>
    </row>
    <row r="160" spans="1:5" x14ac:dyDescent="0.25">
      <c r="A160">
        <v>40706</v>
      </c>
      <c r="B160" s="2" t="s">
        <v>205</v>
      </c>
      <c r="C160" s="2" t="s">
        <v>255</v>
      </c>
      <c r="D160" s="2" t="s">
        <v>261</v>
      </c>
      <c r="E160" s="4">
        <f t="shared" si="2"/>
        <v>0</v>
      </c>
    </row>
    <row r="161" spans="1:5" x14ac:dyDescent="0.25">
      <c r="A161">
        <v>40707</v>
      </c>
      <c r="B161" s="2" t="s">
        <v>205</v>
      </c>
      <c r="C161" s="2" t="s">
        <v>255</v>
      </c>
      <c r="D161" s="2" t="s">
        <v>262</v>
      </c>
      <c r="E161" s="4">
        <f t="shared" si="2"/>
        <v>0</v>
      </c>
    </row>
    <row r="162" spans="1:5" x14ac:dyDescent="0.25">
      <c r="A162">
        <v>40708</v>
      </c>
      <c r="B162" s="2" t="s">
        <v>205</v>
      </c>
      <c r="C162" s="2" t="s">
        <v>255</v>
      </c>
      <c r="D162" s="2" t="s">
        <v>263</v>
      </c>
      <c r="E162" s="4">
        <f t="shared" si="2"/>
        <v>0</v>
      </c>
    </row>
    <row r="163" spans="1:5" x14ac:dyDescent="0.25">
      <c r="A163">
        <v>40801</v>
      </c>
      <c r="B163" s="2" t="s">
        <v>205</v>
      </c>
      <c r="C163" s="2" t="s">
        <v>264</v>
      </c>
      <c r="D163" s="2" t="s">
        <v>264</v>
      </c>
      <c r="E163" s="4">
        <f t="shared" si="2"/>
        <v>0</v>
      </c>
    </row>
    <row r="164" spans="1:5" x14ac:dyDescent="0.25">
      <c r="A164">
        <v>40802</v>
      </c>
      <c r="B164" s="2" t="s">
        <v>205</v>
      </c>
      <c r="C164" s="2" t="s">
        <v>264</v>
      </c>
      <c r="D164" s="2" t="s">
        <v>265</v>
      </c>
      <c r="E164" s="4">
        <f t="shared" si="2"/>
        <v>0</v>
      </c>
    </row>
    <row r="165" spans="1:5" x14ac:dyDescent="0.25">
      <c r="A165">
        <v>40802</v>
      </c>
      <c r="B165" s="2" t="s">
        <v>205</v>
      </c>
      <c r="C165" s="2" t="s">
        <v>264</v>
      </c>
      <c r="D165" s="2" t="s">
        <v>265</v>
      </c>
      <c r="E165" s="4">
        <f t="shared" si="2"/>
        <v>0</v>
      </c>
    </row>
    <row r="166" spans="1:5" x14ac:dyDescent="0.25">
      <c r="A166">
        <v>40803</v>
      </c>
      <c r="B166" s="2" t="s">
        <v>205</v>
      </c>
      <c r="C166" s="2" t="s">
        <v>264</v>
      </c>
      <c r="D166" s="2" t="s">
        <v>266</v>
      </c>
      <c r="E166" s="4">
        <f t="shared" si="2"/>
        <v>0</v>
      </c>
    </row>
    <row r="167" spans="1:5" x14ac:dyDescent="0.25">
      <c r="A167">
        <v>40804</v>
      </c>
      <c r="B167" s="2" t="s">
        <v>205</v>
      </c>
      <c r="C167" s="2" t="s">
        <v>264</v>
      </c>
      <c r="D167" s="2" t="s">
        <v>267</v>
      </c>
      <c r="E167" s="4">
        <f t="shared" si="2"/>
        <v>0</v>
      </c>
    </row>
    <row r="168" spans="1:5" x14ac:dyDescent="0.25">
      <c r="A168">
        <v>40805</v>
      </c>
      <c r="B168" s="2" t="s">
        <v>205</v>
      </c>
      <c r="C168" s="2" t="s">
        <v>264</v>
      </c>
      <c r="D168" s="2" t="s">
        <v>268</v>
      </c>
      <c r="E168" s="4">
        <f t="shared" si="2"/>
        <v>0</v>
      </c>
    </row>
    <row r="169" spans="1:5" x14ac:dyDescent="0.25">
      <c r="A169">
        <v>40901</v>
      </c>
      <c r="B169" s="2" t="s">
        <v>205</v>
      </c>
      <c r="C169" s="2" t="s">
        <v>269</v>
      </c>
      <c r="D169" s="2" t="s">
        <v>270</v>
      </c>
      <c r="E169" s="4">
        <f t="shared" si="2"/>
        <v>0</v>
      </c>
    </row>
    <row r="170" spans="1:5" x14ac:dyDescent="0.25">
      <c r="A170">
        <v>40902</v>
      </c>
      <c r="B170" s="2" t="s">
        <v>205</v>
      </c>
      <c r="C170" s="2" t="s">
        <v>269</v>
      </c>
      <c r="D170" s="2" t="s">
        <v>271</v>
      </c>
      <c r="E170" s="4">
        <f t="shared" si="2"/>
        <v>0</v>
      </c>
    </row>
    <row r="171" spans="1:5" x14ac:dyDescent="0.25">
      <c r="A171">
        <v>40903</v>
      </c>
      <c r="B171" s="2" t="s">
        <v>205</v>
      </c>
      <c r="C171" s="2" t="s">
        <v>269</v>
      </c>
      <c r="D171" s="2" t="s">
        <v>272</v>
      </c>
      <c r="E171" s="4">
        <f t="shared" si="2"/>
        <v>0</v>
      </c>
    </row>
    <row r="172" spans="1:5" x14ac:dyDescent="0.25">
      <c r="A172">
        <v>40904</v>
      </c>
      <c r="B172" s="2" t="s">
        <v>205</v>
      </c>
      <c r="C172" s="2" t="s">
        <v>269</v>
      </c>
      <c r="D172" s="2" t="s">
        <v>273</v>
      </c>
      <c r="E172" s="4">
        <f t="shared" si="2"/>
        <v>0</v>
      </c>
    </row>
    <row r="173" spans="1:5" x14ac:dyDescent="0.25">
      <c r="A173">
        <v>40905</v>
      </c>
      <c r="B173" s="2" t="s">
        <v>205</v>
      </c>
      <c r="C173" s="2" t="s">
        <v>269</v>
      </c>
      <c r="D173" s="2" t="s">
        <v>274</v>
      </c>
      <c r="E173" s="4">
        <f t="shared" si="2"/>
        <v>0</v>
      </c>
    </row>
    <row r="174" spans="1:5" x14ac:dyDescent="0.25">
      <c r="A174">
        <v>41001</v>
      </c>
      <c r="B174" s="2" t="s">
        <v>205</v>
      </c>
      <c r="C174" s="2" t="s">
        <v>275</v>
      </c>
      <c r="D174" s="2" t="s">
        <v>276</v>
      </c>
      <c r="E174" s="4">
        <f t="shared" si="2"/>
        <v>0</v>
      </c>
    </row>
    <row r="175" spans="1:5" x14ac:dyDescent="0.25">
      <c r="A175">
        <v>41002</v>
      </c>
      <c r="B175" s="2" t="s">
        <v>205</v>
      </c>
      <c r="C175" s="2" t="s">
        <v>275</v>
      </c>
      <c r="D175" s="2" t="s">
        <v>277</v>
      </c>
      <c r="E175" s="4">
        <f t="shared" si="2"/>
        <v>0</v>
      </c>
    </row>
    <row r="176" spans="1:5" x14ac:dyDescent="0.25">
      <c r="A176">
        <v>41003</v>
      </c>
      <c r="B176" s="2" t="s">
        <v>205</v>
      </c>
      <c r="C176" s="2" t="s">
        <v>275</v>
      </c>
      <c r="D176" s="2" t="s">
        <v>278</v>
      </c>
      <c r="E176" s="4">
        <f t="shared" si="2"/>
        <v>0</v>
      </c>
    </row>
    <row r="177" spans="1:5" x14ac:dyDescent="0.25">
      <c r="A177">
        <v>41004</v>
      </c>
      <c r="B177" s="2" t="s">
        <v>205</v>
      </c>
      <c r="C177" s="2" t="s">
        <v>275</v>
      </c>
      <c r="D177" s="2" t="s">
        <v>279</v>
      </c>
      <c r="E177" s="4">
        <f t="shared" si="2"/>
        <v>0</v>
      </c>
    </row>
    <row r="178" spans="1:5" x14ac:dyDescent="0.25">
      <c r="A178">
        <v>41005</v>
      </c>
      <c r="B178" s="2" t="s">
        <v>205</v>
      </c>
      <c r="C178" s="2" t="s">
        <v>275</v>
      </c>
      <c r="D178" s="2" t="s">
        <v>280</v>
      </c>
      <c r="E178" s="4">
        <f t="shared" si="2"/>
        <v>0</v>
      </c>
    </row>
    <row r="179" spans="1:5" x14ac:dyDescent="0.25">
      <c r="A179">
        <v>41006</v>
      </c>
      <c r="B179" s="2" t="s">
        <v>205</v>
      </c>
      <c r="C179" s="2" t="s">
        <v>275</v>
      </c>
      <c r="D179" s="2" t="s">
        <v>281</v>
      </c>
      <c r="E179" s="4">
        <f t="shared" si="2"/>
        <v>0</v>
      </c>
    </row>
    <row r="180" spans="1:5" x14ac:dyDescent="0.25">
      <c r="A180">
        <v>41007</v>
      </c>
      <c r="B180" s="2" t="s">
        <v>205</v>
      </c>
      <c r="C180" s="2" t="s">
        <v>275</v>
      </c>
      <c r="D180" s="2" t="s">
        <v>282</v>
      </c>
      <c r="E180" s="4">
        <f t="shared" si="2"/>
        <v>0</v>
      </c>
    </row>
    <row r="181" spans="1:5" x14ac:dyDescent="0.25">
      <c r="A181">
        <v>41008</v>
      </c>
      <c r="B181" s="2" t="s">
        <v>205</v>
      </c>
      <c r="C181" s="2" t="s">
        <v>275</v>
      </c>
      <c r="D181" s="2" t="s">
        <v>283</v>
      </c>
      <c r="E181" s="4">
        <f t="shared" si="2"/>
        <v>0</v>
      </c>
    </row>
    <row r="182" spans="1:5" x14ac:dyDescent="0.25">
      <c r="A182">
        <v>41101</v>
      </c>
      <c r="B182" s="2" t="s">
        <v>205</v>
      </c>
      <c r="C182" s="2" t="s">
        <v>284</v>
      </c>
      <c r="D182" s="2" t="s">
        <v>285</v>
      </c>
      <c r="E182" s="4">
        <f t="shared" si="2"/>
        <v>0</v>
      </c>
    </row>
    <row r="183" spans="1:5" x14ac:dyDescent="0.25">
      <c r="A183">
        <v>41102</v>
      </c>
      <c r="B183" s="2" t="s">
        <v>205</v>
      </c>
      <c r="C183" s="2" t="s">
        <v>284</v>
      </c>
      <c r="D183" s="2" t="s">
        <v>286</v>
      </c>
      <c r="E183" s="4">
        <f t="shared" si="2"/>
        <v>0</v>
      </c>
    </row>
    <row r="184" spans="1:5" x14ac:dyDescent="0.25">
      <c r="A184">
        <v>41103</v>
      </c>
      <c r="B184" s="2" t="s">
        <v>205</v>
      </c>
      <c r="C184" s="2" t="s">
        <v>284</v>
      </c>
      <c r="D184" s="2" t="s">
        <v>287</v>
      </c>
      <c r="E184" s="4">
        <f t="shared" si="2"/>
        <v>0</v>
      </c>
    </row>
    <row r="185" spans="1:5" x14ac:dyDescent="0.25">
      <c r="A185">
        <v>41104</v>
      </c>
      <c r="B185" s="2" t="s">
        <v>205</v>
      </c>
      <c r="C185" s="2" t="s">
        <v>284</v>
      </c>
      <c r="D185" s="2" t="s">
        <v>284</v>
      </c>
      <c r="E185" s="4">
        <f t="shared" si="2"/>
        <v>0</v>
      </c>
    </row>
    <row r="186" spans="1:5" x14ac:dyDescent="0.25">
      <c r="A186">
        <v>41105</v>
      </c>
      <c r="B186" s="2" t="s">
        <v>205</v>
      </c>
      <c r="C186" s="2" t="s">
        <v>284</v>
      </c>
      <c r="D186" s="2" t="s">
        <v>281</v>
      </c>
      <c r="E186" s="4">
        <f t="shared" si="2"/>
        <v>0</v>
      </c>
    </row>
    <row r="187" spans="1:5" x14ac:dyDescent="0.25">
      <c r="A187">
        <v>41201</v>
      </c>
      <c r="B187" s="2" t="s">
        <v>205</v>
      </c>
      <c r="C187" s="2" t="s">
        <v>288</v>
      </c>
      <c r="D187" s="2" t="s">
        <v>289</v>
      </c>
      <c r="E187" s="4">
        <f t="shared" si="2"/>
        <v>0</v>
      </c>
    </row>
    <row r="188" spans="1:5" x14ac:dyDescent="0.25">
      <c r="A188">
        <v>41202</v>
      </c>
      <c r="B188" s="2" t="s">
        <v>205</v>
      </c>
      <c r="C188" s="2" t="s">
        <v>288</v>
      </c>
      <c r="D188" s="2" t="s">
        <v>290</v>
      </c>
      <c r="E188" s="4">
        <f t="shared" si="2"/>
        <v>0</v>
      </c>
    </row>
    <row r="189" spans="1:5" x14ac:dyDescent="0.25">
      <c r="A189">
        <v>41203</v>
      </c>
      <c r="B189" s="2" t="s">
        <v>205</v>
      </c>
      <c r="C189" s="2" t="s">
        <v>288</v>
      </c>
      <c r="D189" s="2" t="s">
        <v>291</v>
      </c>
      <c r="E189" s="4">
        <f t="shared" si="2"/>
        <v>0</v>
      </c>
    </row>
    <row r="190" spans="1:5" x14ac:dyDescent="0.25">
      <c r="A190">
        <v>41204</v>
      </c>
      <c r="B190" s="2" t="s">
        <v>205</v>
      </c>
      <c r="C190" s="2" t="s">
        <v>288</v>
      </c>
      <c r="D190" s="2" t="s">
        <v>176</v>
      </c>
      <c r="E190" s="4">
        <f t="shared" si="2"/>
        <v>0</v>
      </c>
    </row>
    <row r="191" spans="1:5" x14ac:dyDescent="0.25">
      <c r="A191">
        <v>41205</v>
      </c>
      <c r="B191" s="2" t="s">
        <v>205</v>
      </c>
      <c r="C191" s="2" t="s">
        <v>288</v>
      </c>
      <c r="D191" s="2" t="s">
        <v>288</v>
      </c>
      <c r="E191" s="4">
        <f t="shared" si="2"/>
        <v>0</v>
      </c>
    </row>
    <row r="192" spans="1:5" x14ac:dyDescent="0.25">
      <c r="A192">
        <v>41301</v>
      </c>
      <c r="B192" s="2" t="s">
        <v>205</v>
      </c>
      <c r="C192" s="2" t="s">
        <v>292</v>
      </c>
      <c r="D192" s="2" t="s">
        <v>293</v>
      </c>
      <c r="E192" s="4">
        <f t="shared" si="2"/>
        <v>0</v>
      </c>
    </row>
    <row r="193" spans="1:5" x14ac:dyDescent="0.25">
      <c r="A193">
        <v>41302</v>
      </c>
      <c r="B193" s="2" t="s">
        <v>205</v>
      </c>
      <c r="C193" s="2" t="s">
        <v>292</v>
      </c>
      <c r="D193" s="2" t="s">
        <v>294</v>
      </c>
      <c r="E193" s="4">
        <f t="shared" si="2"/>
        <v>0</v>
      </c>
    </row>
    <row r="194" spans="1:5" x14ac:dyDescent="0.25">
      <c r="A194">
        <v>41303</v>
      </c>
      <c r="B194" s="2" t="s">
        <v>205</v>
      </c>
      <c r="C194" s="2" t="s">
        <v>292</v>
      </c>
      <c r="D194" s="2" t="s">
        <v>295</v>
      </c>
      <c r="E194" s="4">
        <f t="shared" si="2"/>
        <v>0</v>
      </c>
    </row>
    <row r="195" spans="1:5" x14ac:dyDescent="0.25">
      <c r="A195">
        <v>41304</v>
      </c>
      <c r="B195" s="2" t="s">
        <v>205</v>
      </c>
      <c r="C195" s="2" t="s">
        <v>292</v>
      </c>
      <c r="D195" s="2" t="s">
        <v>119</v>
      </c>
      <c r="E195" s="4">
        <f t="shared" si="2"/>
        <v>0</v>
      </c>
    </row>
    <row r="196" spans="1:5" x14ac:dyDescent="0.25">
      <c r="A196">
        <v>41305</v>
      </c>
      <c r="B196" s="2" t="s">
        <v>205</v>
      </c>
      <c r="C196" s="2" t="s">
        <v>292</v>
      </c>
      <c r="D196" s="2" t="s">
        <v>296</v>
      </c>
      <c r="E196" s="4">
        <f t="shared" si="2"/>
        <v>0</v>
      </c>
    </row>
    <row r="197" spans="1:5" x14ac:dyDescent="0.25">
      <c r="A197">
        <v>41306</v>
      </c>
      <c r="B197" s="2" t="s">
        <v>205</v>
      </c>
      <c r="C197" s="2" t="s">
        <v>292</v>
      </c>
      <c r="D197" s="2" t="s">
        <v>297</v>
      </c>
      <c r="E197" s="4">
        <f t="shared" ref="E197:E260" si="3">SUM(F197:AEZ197)</f>
        <v>0</v>
      </c>
    </row>
    <row r="198" spans="1:5" x14ac:dyDescent="0.25">
      <c r="A198">
        <v>41307</v>
      </c>
      <c r="B198" s="2" t="s">
        <v>205</v>
      </c>
      <c r="C198" s="2" t="s">
        <v>292</v>
      </c>
      <c r="D198" s="2" t="s">
        <v>298</v>
      </c>
      <c r="E198" s="4">
        <f t="shared" si="3"/>
        <v>0</v>
      </c>
    </row>
    <row r="199" spans="1:5" x14ac:dyDescent="0.25">
      <c r="A199">
        <v>41308</v>
      </c>
      <c r="B199" s="2" t="s">
        <v>205</v>
      </c>
      <c r="C199" s="2" t="s">
        <v>292</v>
      </c>
      <c r="D199" s="2" t="s">
        <v>299</v>
      </c>
      <c r="E199" s="4">
        <f t="shared" si="3"/>
        <v>0</v>
      </c>
    </row>
    <row r="200" spans="1:5" x14ac:dyDescent="0.25">
      <c r="A200">
        <v>41309</v>
      </c>
      <c r="B200" s="2" t="s">
        <v>205</v>
      </c>
      <c r="C200" s="2" t="s">
        <v>292</v>
      </c>
      <c r="D200" s="2" t="s">
        <v>300</v>
      </c>
      <c r="E200" s="4">
        <f t="shared" si="3"/>
        <v>0</v>
      </c>
    </row>
    <row r="201" spans="1:5" x14ac:dyDescent="0.25">
      <c r="A201">
        <v>50101</v>
      </c>
      <c r="B201" s="2" t="s">
        <v>301</v>
      </c>
      <c r="C201" s="2" t="s">
        <v>302</v>
      </c>
      <c r="D201" s="2" t="s">
        <v>303</v>
      </c>
      <c r="E201" s="4">
        <f t="shared" si="3"/>
        <v>0</v>
      </c>
    </row>
    <row r="202" spans="1:5" x14ac:dyDescent="0.25">
      <c r="A202">
        <v>50103</v>
      </c>
      <c r="B202" s="2" t="s">
        <v>301</v>
      </c>
      <c r="C202" s="2" t="s">
        <v>302</v>
      </c>
      <c r="D202" s="2" t="s">
        <v>302</v>
      </c>
      <c r="E202" s="4">
        <f t="shared" si="3"/>
        <v>0</v>
      </c>
    </row>
    <row r="203" spans="1:5" x14ac:dyDescent="0.25">
      <c r="A203">
        <v>50104</v>
      </c>
      <c r="B203" s="2" t="s">
        <v>301</v>
      </c>
      <c r="C203" s="2" t="s">
        <v>302</v>
      </c>
      <c r="D203" s="2" t="s">
        <v>304</v>
      </c>
      <c r="E203" s="4">
        <f t="shared" si="3"/>
        <v>0</v>
      </c>
    </row>
    <row r="204" spans="1:5" x14ac:dyDescent="0.25">
      <c r="A204">
        <v>50105</v>
      </c>
      <c r="B204" s="2" t="s">
        <v>301</v>
      </c>
      <c r="C204" s="2" t="s">
        <v>302</v>
      </c>
      <c r="D204" s="2" t="s">
        <v>305</v>
      </c>
      <c r="E204" s="4">
        <f t="shared" si="3"/>
        <v>0</v>
      </c>
    </row>
    <row r="205" spans="1:5" x14ac:dyDescent="0.25">
      <c r="A205">
        <v>50106</v>
      </c>
      <c r="B205" s="2" t="s">
        <v>301</v>
      </c>
      <c r="C205" s="2" t="s">
        <v>302</v>
      </c>
      <c r="D205" s="2" t="s">
        <v>306</v>
      </c>
      <c r="E205" s="4">
        <f t="shared" si="3"/>
        <v>0</v>
      </c>
    </row>
    <row r="206" spans="1:5" x14ac:dyDescent="0.25">
      <c r="A206">
        <v>50109</v>
      </c>
      <c r="B206" s="2" t="s">
        <v>301</v>
      </c>
      <c r="C206" s="2" t="s">
        <v>302</v>
      </c>
      <c r="D206" s="2" t="s">
        <v>307</v>
      </c>
      <c r="E206" s="4">
        <f t="shared" si="3"/>
        <v>0</v>
      </c>
    </row>
    <row r="207" spans="1:5" x14ac:dyDescent="0.25">
      <c r="A207">
        <v>50110</v>
      </c>
      <c r="B207" s="2" t="s">
        <v>301</v>
      </c>
      <c r="C207" s="2" t="s">
        <v>302</v>
      </c>
      <c r="D207" s="2" t="s">
        <v>308</v>
      </c>
      <c r="E207" s="4">
        <f t="shared" si="3"/>
        <v>0</v>
      </c>
    </row>
    <row r="208" spans="1:5" x14ac:dyDescent="0.25">
      <c r="A208">
        <v>50111</v>
      </c>
      <c r="B208" s="2" t="s">
        <v>301</v>
      </c>
      <c r="C208" s="2" t="s">
        <v>302</v>
      </c>
      <c r="D208" s="2" t="s">
        <v>309</v>
      </c>
      <c r="E208" s="4">
        <f t="shared" si="3"/>
        <v>0</v>
      </c>
    </row>
    <row r="209" spans="1:5" x14ac:dyDescent="0.25">
      <c r="A209">
        <v>50112</v>
      </c>
      <c r="B209" s="2" t="s">
        <v>301</v>
      </c>
      <c r="C209" s="2" t="s">
        <v>302</v>
      </c>
      <c r="D209" s="2" t="s">
        <v>310</v>
      </c>
      <c r="E209" s="4">
        <f t="shared" si="3"/>
        <v>0</v>
      </c>
    </row>
    <row r="210" spans="1:5" x14ac:dyDescent="0.25">
      <c r="A210">
        <v>50102</v>
      </c>
      <c r="B210" s="2" t="s">
        <v>301</v>
      </c>
      <c r="C210" s="2" t="s">
        <v>302</v>
      </c>
      <c r="D210" s="2" t="s">
        <v>311</v>
      </c>
      <c r="E210" s="4">
        <f t="shared" si="3"/>
        <v>0</v>
      </c>
    </row>
    <row r="211" spans="1:5" x14ac:dyDescent="0.25">
      <c r="A211">
        <v>50102</v>
      </c>
      <c r="B211" s="2" t="s">
        <v>301</v>
      </c>
      <c r="C211" s="2" t="s">
        <v>302</v>
      </c>
      <c r="D211" s="2" t="s">
        <v>311</v>
      </c>
      <c r="E211" s="4">
        <f t="shared" si="3"/>
        <v>0</v>
      </c>
    </row>
    <row r="212" spans="1:5" x14ac:dyDescent="0.25">
      <c r="A212">
        <v>50101</v>
      </c>
      <c r="B212" s="2" t="s">
        <v>301</v>
      </c>
      <c r="C212" s="2" t="s">
        <v>302</v>
      </c>
      <c r="D212" s="2" t="s">
        <v>303</v>
      </c>
      <c r="E212" s="4">
        <f t="shared" si="3"/>
        <v>0</v>
      </c>
    </row>
    <row r="213" spans="1:5" x14ac:dyDescent="0.25">
      <c r="A213">
        <v>50110</v>
      </c>
      <c r="B213" s="2" t="s">
        <v>301</v>
      </c>
      <c r="C213" s="2" t="s">
        <v>302</v>
      </c>
      <c r="D213" s="2" t="s">
        <v>308</v>
      </c>
      <c r="E213" s="4">
        <f t="shared" si="3"/>
        <v>0</v>
      </c>
    </row>
    <row r="214" spans="1:5" x14ac:dyDescent="0.25">
      <c r="A214">
        <v>50103</v>
      </c>
      <c r="B214" s="2" t="s">
        <v>301</v>
      </c>
      <c r="C214" s="2" t="s">
        <v>302</v>
      </c>
      <c r="D214" s="2" t="s">
        <v>302</v>
      </c>
      <c r="E214" s="4">
        <f t="shared" si="3"/>
        <v>0</v>
      </c>
    </row>
    <row r="215" spans="1:5" ht="24" x14ac:dyDescent="0.25">
      <c r="A215">
        <v>50201</v>
      </c>
      <c r="B215" s="2" t="s">
        <v>301</v>
      </c>
      <c r="C215" s="2" t="s">
        <v>312</v>
      </c>
      <c r="D215" s="2" t="s">
        <v>313</v>
      </c>
      <c r="E215" s="4">
        <f t="shared" si="3"/>
        <v>0</v>
      </c>
    </row>
    <row r="216" spans="1:5" x14ac:dyDescent="0.25">
      <c r="A216">
        <v>50202</v>
      </c>
      <c r="B216" s="2" t="s">
        <v>301</v>
      </c>
      <c r="C216" s="2" t="s">
        <v>312</v>
      </c>
      <c r="D216" s="2" t="s">
        <v>314</v>
      </c>
      <c r="E216" s="4">
        <f t="shared" si="3"/>
        <v>0</v>
      </c>
    </row>
    <row r="217" spans="1:5" x14ac:dyDescent="0.25">
      <c r="A217">
        <v>50203</v>
      </c>
      <c r="B217" s="2" t="s">
        <v>301</v>
      </c>
      <c r="C217" s="2" t="s">
        <v>312</v>
      </c>
      <c r="D217" s="2" t="s">
        <v>315</v>
      </c>
      <c r="E217" s="4">
        <f t="shared" si="3"/>
        <v>0</v>
      </c>
    </row>
    <row r="218" spans="1:5" x14ac:dyDescent="0.25">
      <c r="A218">
        <v>50204</v>
      </c>
      <c r="B218" s="2" t="s">
        <v>301</v>
      </c>
      <c r="C218" s="2" t="s">
        <v>312</v>
      </c>
      <c r="D218" s="2" t="s">
        <v>312</v>
      </c>
      <c r="E218" s="4">
        <f t="shared" si="3"/>
        <v>0</v>
      </c>
    </row>
    <row r="219" spans="1:5" x14ac:dyDescent="0.25">
      <c r="A219">
        <v>50205</v>
      </c>
      <c r="B219" s="2" t="s">
        <v>301</v>
      </c>
      <c r="C219" s="2" t="s">
        <v>312</v>
      </c>
      <c r="D219" s="2" t="s">
        <v>316</v>
      </c>
      <c r="E219" s="4">
        <f t="shared" si="3"/>
        <v>0</v>
      </c>
    </row>
    <row r="220" spans="1:5" x14ac:dyDescent="0.25">
      <c r="A220">
        <v>50206</v>
      </c>
      <c r="B220" s="2" t="s">
        <v>301</v>
      </c>
      <c r="C220" s="2" t="s">
        <v>312</v>
      </c>
      <c r="D220" s="2" t="s">
        <v>317</v>
      </c>
      <c r="E220" s="4">
        <f t="shared" si="3"/>
        <v>0</v>
      </c>
    </row>
    <row r="221" spans="1:5" x14ac:dyDescent="0.25">
      <c r="A221">
        <v>50207</v>
      </c>
      <c r="B221" s="2" t="s">
        <v>301</v>
      </c>
      <c r="C221" s="2" t="s">
        <v>312</v>
      </c>
      <c r="D221" s="2" t="s">
        <v>318</v>
      </c>
      <c r="E221" s="4">
        <f t="shared" si="3"/>
        <v>0</v>
      </c>
    </row>
    <row r="222" spans="1:5" x14ac:dyDescent="0.25">
      <c r="A222">
        <v>50208</v>
      </c>
      <c r="B222" s="2" t="s">
        <v>301</v>
      </c>
      <c r="C222" s="2" t="s">
        <v>312</v>
      </c>
      <c r="D222" s="2" t="s">
        <v>319</v>
      </c>
      <c r="E222" s="4">
        <f t="shared" si="3"/>
        <v>0</v>
      </c>
    </row>
    <row r="223" spans="1:5" x14ac:dyDescent="0.25">
      <c r="A223">
        <v>50209</v>
      </c>
      <c r="B223" s="2" t="s">
        <v>301</v>
      </c>
      <c r="C223" s="2" t="s">
        <v>312</v>
      </c>
      <c r="D223" s="2" t="s">
        <v>320</v>
      </c>
      <c r="E223" s="4">
        <f t="shared" si="3"/>
        <v>0</v>
      </c>
    </row>
    <row r="224" spans="1:5" x14ac:dyDescent="0.25">
      <c r="A224">
        <v>50207</v>
      </c>
      <c r="B224" s="2" t="s">
        <v>301</v>
      </c>
      <c r="C224" s="2" t="s">
        <v>312</v>
      </c>
      <c r="D224" s="2" t="s">
        <v>318</v>
      </c>
      <c r="E224" s="4">
        <f t="shared" si="3"/>
        <v>0</v>
      </c>
    </row>
    <row r="225" spans="1:5" ht="24" x14ac:dyDescent="0.25">
      <c r="A225">
        <v>50201</v>
      </c>
      <c r="B225" s="2" t="s">
        <v>301</v>
      </c>
      <c r="C225" s="2" t="s">
        <v>312</v>
      </c>
      <c r="D225" s="2" t="s">
        <v>313</v>
      </c>
      <c r="E225" s="4">
        <f t="shared" si="3"/>
        <v>0</v>
      </c>
    </row>
    <row r="226" spans="1:5" x14ac:dyDescent="0.25">
      <c r="A226">
        <v>60101</v>
      </c>
      <c r="B226" s="2" t="s">
        <v>321</v>
      </c>
      <c r="C226" s="2" t="s">
        <v>322</v>
      </c>
      <c r="D226" s="2" t="s">
        <v>323</v>
      </c>
      <c r="E226" s="4">
        <f t="shared" si="3"/>
        <v>0</v>
      </c>
    </row>
    <row r="227" spans="1:5" x14ac:dyDescent="0.25">
      <c r="A227">
        <v>60102</v>
      </c>
      <c r="B227" s="2" t="s">
        <v>321</v>
      </c>
      <c r="C227" s="2" t="s">
        <v>322</v>
      </c>
      <c r="D227" s="2" t="s">
        <v>324</v>
      </c>
      <c r="E227" s="4">
        <f t="shared" si="3"/>
        <v>0</v>
      </c>
    </row>
    <row r="228" spans="1:5" x14ac:dyDescent="0.25">
      <c r="A228">
        <v>60103</v>
      </c>
      <c r="B228" s="2" t="s">
        <v>321</v>
      </c>
      <c r="C228" s="2" t="s">
        <v>322</v>
      </c>
      <c r="D228" s="2" t="s">
        <v>325</v>
      </c>
      <c r="E228" s="4">
        <f t="shared" si="3"/>
        <v>0</v>
      </c>
    </row>
    <row r="229" spans="1:5" x14ac:dyDescent="0.25">
      <c r="A229">
        <v>60104</v>
      </c>
      <c r="B229" s="2" t="s">
        <v>321</v>
      </c>
      <c r="C229" s="2" t="s">
        <v>322</v>
      </c>
      <c r="D229" s="2" t="s">
        <v>326</v>
      </c>
      <c r="E229" s="4">
        <f t="shared" si="3"/>
        <v>0</v>
      </c>
    </row>
    <row r="230" spans="1:5" x14ac:dyDescent="0.25">
      <c r="A230">
        <v>60105</v>
      </c>
      <c r="B230" s="2" t="s">
        <v>321</v>
      </c>
      <c r="C230" s="2" t="s">
        <v>322</v>
      </c>
      <c r="D230" s="2" t="s">
        <v>327</v>
      </c>
      <c r="E230" s="4">
        <f t="shared" si="3"/>
        <v>0</v>
      </c>
    </row>
    <row r="231" spans="1:5" x14ac:dyDescent="0.25">
      <c r="A231">
        <v>60201</v>
      </c>
      <c r="B231" s="2" t="s">
        <v>321</v>
      </c>
      <c r="C231" s="2" t="s">
        <v>328</v>
      </c>
      <c r="D231" s="2" t="s">
        <v>329</v>
      </c>
      <c r="E231" s="4">
        <f t="shared" si="3"/>
        <v>0</v>
      </c>
    </row>
    <row r="232" spans="1:5" x14ac:dyDescent="0.25">
      <c r="A232">
        <v>60202</v>
      </c>
      <c r="B232" s="2" t="s">
        <v>321</v>
      </c>
      <c r="C232" s="2" t="s">
        <v>328</v>
      </c>
      <c r="D232" s="2" t="s">
        <v>330</v>
      </c>
      <c r="E232" s="4">
        <f t="shared" si="3"/>
        <v>0</v>
      </c>
    </row>
    <row r="233" spans="1:5" x14ac:dyDescent="0.25">
      <c r="A233">
        <v>60203</v>
      </c>
      <c r="B233" s="2" t="s">
        <v>321</v>
      </c>
      <c r="C233" s="2" t="s">
        <v>328</v>
      </c>
      <c r="D233" s="2" t="s">
        <v>331</v>
      </c>
      <c r="E233" s="4">
        <f t="shared" si="3"/>
        <v>0</v>
      </c>
    </row>
    <row r="234" spans="1:5" x14ac:dyDescent="0.25">
      <c r="A234">
        <v>60204</v>
      </c>
      <c r="B234" s="2" t="s">
        <v>321</v>
      </c>
      <c r="C234" s="2" t="s">
        <v>328</v>
      </c>
      <c r="D234" s="2" t="s">
        <v>332</v>
      </c>
      <c r="E234" s="4">
        <f t="shared" si="3"/>
        <v>0</v>
      </c>
    </row>
    <row r="235" spans="1:5" x14ac:dyDescent="0.25">
      <c r="A235">
        <v>60205</v>
      </c>
      <c r="B235" s="2" t="s">
        <v>321</v>
      </c>
      <c r="C235" s="2" t="s">
        <v>328</v>
      </c>
      <c r="D235" s="2" t="s">
        <v>333</v>
      </c>
      <c r="E235" s="4">
        <f t="shared" si="3"/>
        <v>0</v>
      </c>
    </row>
    <row r="236" spans="1:5" x14ac:dyDescent="0.25">
      <c r="A236">
        <v>60206</v>
      </c>
      <c r="B236" s="2" t="s">
        <v>321</v>
      </c>
      <c r="C236" s="2" t="s">
        <v>328</v>
      </c>
      <c r="D236" s="2" t="s">
        <v>334</v>
      </c>
      <c r="E236" s="4">
        <f t="shared" si="3"/>
        <v>0</v>
      </c>
    </row>
    <row r="237" spans="1:5" x14ac:dyDescent="0.25">
      <c r="A237">
        <v>60207</v>
      </c>
      <c r="B237" s="2" t="s">
        <v>321</v>
      </c>
      <c r="C237" s="2" t="s">
        <v>328</v>
      </c>
      <c r="D237" s="2" t="s">
        <v>335</v>
      </c>
      <c r="E237" s="4">
        <f t="shared" si="3"/>
        <v>0</v>
      </c>
    </row>
    <row r="238" spans="1:5" x14ac:dyDescent="0.25">
      <c r="A238">
        <v>60301</v>
      </c>
      <c r="B238" s="2" t="s">
        <v>321</v>
      </c>
      <c r="C238" s="2" t="s">
        <v>336</v>
      </c>
      <c r="D238" s="2" t="s">
        <v>337</v>
      </c>
      <c r="E238" s="4">
        <f t="shared" si="3"/>
        <v>0</v>
      </c>
    </row>
    <row r="239" spans="1:5" x14ac:dyDescent="0.25">
      <c r="A239">
        <v>60302</v>
      </c>
      <c r="B239" s="2" t="s">
        <v>321</v>
      </c>
      <c r="C239" s="2" t="s">
        <v>336</v>
      </c>
      <c r="D239" s="2" t="s">
        <v>338</v>
      </c>
      <c r="E239" s="4">
        <f t="shared" si="3"/>
        <v>0</v>
      </c>
    </row>
    <row r="240" spans="1:5" x14ac:dyDescent="0.25">
      <c r="A240">
        <v>60303</v>
      </c>
      <c r="B240" s="2" t="s">
        <v>321</v>
      </c>
      <c r="C240" s="2" t="s">
        <v>336</v>
      </c>
      <c r="D240" s="2" t="s">
        <v>339</v>
      </c>
      <c r="E240" s="4">
        <f t="shared" si="3"/>
        <v>0</v>
      </c>
    </row>
    <row r="241" spans="1:5" x14ac:dyDescent="0.25">
      <c r="A241">
        <v>60304</v>
      </c>
      <c r="B241" s="2" t="s">
        <v>321</v>
      </c>
      <c r="C241" s="2" t="s">
        <v>336</v>
      </c>
      <c r="D241" s="2" t="s">
        <v>340</v>
      </c>
      <c r="E241" s="4">
        <f t="shared" si="3"/>
        <v>0</v>
      </c>
    </row>
    <row r="242" spans="1:5" x14ac:dyDescent="0.25">
      <c r="A242">
        <v>60305</v>
      </c>
      <c r="B242" s="2" t="s">
        <v>321</v>
      </c>
      <c r="C242" s="2" t="s">
        <v>336</v>
      </c>
      <c r="D242" s="2" t="s">
        <v>324</v>
      </c>
      <c r="E242" s="4">
        <f t="shared" si="3"/>
        <v>0</v>
      </c>
    </row>
    <row r="243" spans="1:5" x14ac:dyDescent="0.25">
      <c r="A243">
        <v>60306</v>
      </c>
      <c r="B243" s="2" t="s">
        <v>321</v>
      </c>
      <c r="C243" s="2" t="s">
        <v>336</v>
      </c>
      <c r="D243" s="2" t="s">
        <v>341</v>
      </c>
      <c r="E243" s="4">
        <f t="shared" si="3"/>
        <v>0</v>
      </c>
    </row>
    <row r="244" spans="1:5" x14ac:dyDescent="0.25">
      <c r="A244">
        <v>60307</v>
      </c>
      <c r="B244" s="2" t="s">
        <v>321</v>
      </c>
      <c r="C244" s="2" t="s">
        <v>336</v>
      </c>
      <c r="D244" s="2" t="s">
        <v>342</v>
      </c>
      <c r="E244" s="4">
        <f t="shared" si="3"/>
        <v>0</v>
      </c>
    </row>
    <row r="245" spans="1:5" x14ac:dyDescent="0.25">
      <c r="A245">
        <v>60308</v>
      </c>
      <c r="B245" s="2" t="s">
        <v>321</v>
      </c>
      <c r="C245" s="2" t="s">
        <v>336</v>
      </c>
      <c r="D245" s="2" t="s">
        <v>343</v>
      </c>
      <c r="E245" s="4">
        <f t="shared" si="3"/>
        <v>0</v>
      </c>
    </row>
    <row r="246" spans="1:5" x14ac:dyDescent="0.25">
      <c r="A246">
        <v>60309</v>
      </c>
      <c r="B246" s="2" t="s">
        <v>321</v>
      </c>
      <c r="C246" s="2" t="s">
        <v>336</v>
      </c>
      <c r="D246" s="2" t="s">
        <v>344</v>
      </c>
      <c r="E246" s="4">
        <f t="shared" si="3"/>
        <v>0</v>
      </c>
    </row>
    <row r="247" spans="1:5" x14ac:dyDescent="0.25">
      <c r="A247">
        <v>60401</v>
      </c>
      <c r="B247" s="2" t="s">
        <v>321</v>
      </c>
      <c r="C247" s="2" t="s">
        <v>345</v>
      </c>
      <c r="D247" s="2" t="s">
        <v>346</v>
      </c>
      <c r="E247" s="4">
        <f t="shared" si="3"/>
        <v>0</v>
      </c>
    </row>
    <row r="248" spans="1:5" x14ac:dyDescent="0.25">
      <c r="A248">
        <v>60402</v>
      </c>
      <c r="B248" s="2" t="s">
        <v>321</v>
      </c>
      <c r="C248" s="2" t="s">
        <v>345</v>
      </c>
      <c r="D248" s="2" t="s">
        <v>347</v>
      </c>
      <c r="E248" s="4">
        <f t="shared" si="3"/>
        <v>0</v>
      </c>
    </row>
    <row r="249" spans="1:5" x14ac:dyDescent="0.25">
      <c r="A249">
        <v>60403</v>
      </c>
      <c r="B249" s="2" t="s">
        <v>321</v>
      </c>
      <c r="C249" s="2" t="s">
        <v>345</v>
      </c>
      <c r="D249" s="2" t="s">
        <v>348</v>
      </c>
      <c r="E249" s="4">
        <f t="shared" si="3"/>
        <v>0</v>
      </c>
    </row>
    <row r="250" spans="1:5" x14ac:dyDescent="0.25">
      <c r="A250">
        <v>60404</v>
      </c>
      <c r="B250" s="2" t="s">
        <v>321</v>
      </c>
      <c r="C250" s="2" t="s">
        <v>345</v>
      </c>
      <c r="D250" s="2" t="s">
        <v>138</v>
      </c>
      <c r="E250" s="4">
        <f t="shared" si="3"/>
        <v>0</v>
      </c>
    </row>
    <row r="251" spans="1:5" x14ac:dyDescent="0.25">
      <c r="A251">
        <v>60405</v>
      </c>
      <c r="B251" s="2" t="s">
        <v>321</v>
      </c>
      <c r="C251" s="2" t="s">
        <v>345</v>
      </c>
      <c r="D251" s="2" t="s">
        <v>349</v>
      </c>
      <c r="E251" s="4">
        <f t="shared" si="3"/>
        <v>0</v>
      </c>
    </row>
    <row r="252" spans="1:5" x14ac:dyDescent="0.25">
      <c r="A252">
        <v>60406</v>
      </c>
      <c r="B252" s="2" t="s">
        <v>321</v>
      </c>
      <c r="C252" s="2" t="s">
        <v>345</v>
      </c>
      <c r="D252" s="2" t="s">
        <v>350</v>
      </c>
      <c r="E252" s="4">
        <f t="shared" si="3"/>
        <v>0</v>
      </c>
    </row>
    <row r="253" spans="1:5" x14ac:dyDescent="0.25">
      <c r="A253">
        <v>60407</v>
      </c>
      <c r="B253" s="2" t="s">
        <v>321</v>
      </c>
      <c r="C253" s="2" t="s">
        <v>345</v>
      </c>
      <c r="D253" s="2" t="s">
        <v>351</v>
      </c>
      <c r="E253" s="4">
        <f t="shared" si="3"/>
        <v>0</v>
      </c>
    </row>
    <row r="254" spans="1:5" x14ac:dyDescent="0.25">
      <c r="A254">
        <v>60501</v>
      </c>
      <c r="B254" s="2" t="s">
        <v>321</v>
      </c>
      <c r="C254" s="2" t="s">
        <v>352</v>
      </c>
      <c r="D254" s="2" t="s">
        <v>353</v>
      </c>
      <c r="E254" s="4">
        <f t="shared" si="3"/>
        <v>0</v>
      </c>
    </row>
    <row r="255" spans="1:5" x14ac:dyDescent="0.25">
      <c r="A255">
        <v>60502</v>
      </c>
      <c r="B255" s="2" t="s">
        <v>321</v>
      </c>
      <c r="C255" s="2" t="s">
        <v>352</v>
      </c>
      <c r="D255" s="2" t="s">
        <v>125</v>
      </c>
      <c r="E255" s="4">
        <f t="shared" si="3"/>
        <v>0</v>
      </c>
    </row>
    <row r="256" spans="1:5" x14ac:dyDescent="0.25">
      <c r="A256">
        <v>60503</v>
      </c>
      <c r="B256" s="2" t="s">
        <v>321</v>
      </c>
      <c r="C256" s="2" t="s">
        <v>352</v>
      </c>
      <c r="D256" s="2" t="s">
        <v>354</v>
      </c>
      <c r="E256" s="4">
        <f t="shared" si="3"/>
        <v>0</v>
      </c>
    </row>
    <row r="257" spans="1:5" x14ac:dyDescent="0.25">
      <c r="A257">
        <v>60504</v>
      </c>
      <c r="B257" s="2" t="s">
        <v>321</v>
      </c>
      <c r="C257" s="2" t="s">
        <v>352</v>
      </c>
      <c r="D257" s="2" t="s">
        <v>355</v>
      </c>
      <c r="E257" s="4">
        <f t="shared" si="3"/>
        <v>0</v>
      </c>
    </row>
    <row r="258" spans="1:5" x14ac:dyDescent="0.25">
      <c r="A258">
        <v>60505</v>
      </c>
      <c r="B258" s="2" t="s">
        <v>321</v>
      </c>
      <c r="C258" s="2" t="s">
        <v>352</v>
      </c>
      <c r="D258" s="2" t="s">
        <v>356</v>
      </c>
      <c r="E258" s="4">
        <f t="shared" si="3"/>
        <v>0</v>
      </c>
    </row>
    <row r="259" spans="1:5" x14ac:dyDescent="0.25">
      <c r="A259">
        <v>60506</v>
      </c>
      <c r="B259" s="2" t="s">
        <v>321</v>
      </c>
      <c r="C259" s="2" t="s">
        <v>352</v>
      </c>
      <c r="D259" s="2" t="s">
        <v>357</v>
      </c>
      <c r="E259" s="4">
        <f t="shared" si="3"/>
        <v>0</v>
      </c>
    </row>
    <row r="260" spans="1:5" x14ac:dyDescent="0.25">
      <c r="A260">
        <v>60507</v>
      </c>
      <c r="B260" s="2" t="s">
        <v>321</v>
      </c>
      <c r="C260" s="2" t="s">
        <v>352</v>
      </c>
      <c r="D260" s="2" t="s">
        <v>358</v>
      </c>
      <c r="E260" s="4">
        <f t="shared" si="3"/>
        <v>0</v>
      </c>
    </row>
    <row r="261" spans="1:5" x14ac:dyDescent="0.25">
      <c r="A261">
        <v>60601</v>
      </c>
      <c r="B261" s="2" t="s">
        <v>321</v>
      </c>
      <c r="C261" s="2" t="s">
        <v>359</v>
      </c>
      <c r="D261" s="2" t="s">
        <v>360</v>
      </c>
      <c r="E261" s="4">
        <f t="shared" ref="E261:E324" si="4">SUM(F261:AEZ261)</f>
        <v>0</v>
      </c>
    </row>
    <row r="262" spans="1:5" x14ac:dyDescent="0.25">
      <c r="A262">
        <v>60602</v>
      </c>
      <c r="B262" s="2" t="s">
        <v>321</v>
      </c>
      <c r="C262" s="2" t="s">
        <v>359</v>
      </c>
      <c r="D262" s="2" t="s">
        <v>361</v>
      </c>
      <c r="E262" s="4">
        <f t="shared" si="4"/>
        <v>0</v>
      </c>
    </row>
    <row r="263" spans="1:5" x14ac:dyDescent="0.25">
      <c r="A263">
        <v>60603</v>
      </c>
      <c r="B263" s="2" t="s">
        <v>321</v>
      </c>
      <c r="C263" s="2" t="s">
        <v>359</v>
      </c>
      <c r="D263" s="2" t="s">
        <v>362</v>
      </c>
      <c r="E263" s="4">
        <f t="shared" si="4"/>
        <v>0</v>
      </c>
    </row>
    <row r="264" spans="1:5" x14ac:dyDescent="0.25">
      <c r="A264">
        <v>60604</v>
      </c>
      <c r="B264" s="2" t="s">
        <v>321</v>
      </c>
      <c r="C264" s="2" t="s">
        <v>359</v>
      </c>
      <c r="D264" s="2" t="s">
        <v>363</v>
      </c>
      <c r="E264" s="4">
        <f t="shared" si="4"/>
        <v>0</v>
      </c>
    </row>
    <row r="265" spans="1:5" x14ac:dyDescent="0.25">
      <c r="A265">
        <v>60605</v>
      </c>
      <c r="B265" s="2" t="s">
        <v>321</v>
      </c>
      <c r="C265" s="2" t="s">
        <v>359</v>
      </c>
      <c r="D265" s="2" t="s">
        <v>364</v>
      </c>
      <c r="E265" s="4">
        <f t="shared" si="4"/>
        <v>0</v>
      </c>
    </row>
    <row r="266" spans="1:5" x14ac:dyDescent="0.25">
      <c r="A266">
        <v>60606</v>
      </c>
      <c r="B266" s="2" t="s">
        <v>321</v>
      </c>
      <c r="C266" s="2" t="s">
        <v>359</v>
      </c>
      <c r="D266" s="2" t="s">
        <v>365</v>
      </c>
      <c r="E266" s="4">
        <f t="shared" si="4"/>
        <v>0</v>
      </c>
    </row>
    <row r="267" spans="1:5" x14ac:dyDescent="0.25">
      <c r="A267">
        <v>60607</v>
      </c>
      <c r="B267" s="2" t="s">
        <v>321</v>
      </c>
      <c r="C267" s="2" t="s">
        <v>359</v>
      </c>
      <c r="D267" s="2" t="s">
        <v>366</v>
      </c>
      <c r="E267" s="4">
        <f t="shared" si="4"/>
        <v>0</v>
      </c>
    </row>
    <row r="268" spans="1:5" x14ac:dyDescent="0.25">
      <c r="A268">
        <v>60608</v>
      </c>
      <c r="B268" s="2" t="s">
        <v>321</v>
      </c>
      <c r="C268" s="2" t="s">
        <v>359</v>
      </c>
      <c r="D268" s="2" t="s">
        <v>367</v>
      </c>
      <c r="E268" s="4">
        <f t="shared" si="4"/>
        <v>0</v>
      </c>
    </row>
    <row r="269" spans="1:5" x14ac:dyDescent="0.25">
      <c r="A269">
        <v>60701</v>
      </c>
      <c r="B269" s="2" t="s">
        <v>321</v>
      </c>
      <c r="C269" s="2" t="s">
        <v>368</v>
      </c>
      <c r="D269" s="2" t="s">
        <v>369</v>
      </c>
      <c r="E269" s="4">
        <f t="shared" si="4"/>
        <v>0</v>
      </c>
    </row>
    <row r="270" spans="1:5" x14ac:dyDescent="0.25">
      <c r="A270">
        <v>60702</v>
      </c>
      <c r="B270" s="2" t="s">
        <v>321</v>
      </c>
      <c r="C270" s="2" t="s">
        <v>368</v>
      </c>
      <c r="D270" s="2" t="s">
        <v>370</v>
      </c>
      <c r="E270" s="4">
        <f t="shared" si="4"/>
        <v>0</v>
      </c>
    </row>
    <row r="271" spans="1:5" x14ac:dyDescent="0.25">
      <c r="A271">
        <v>60703</v>
      </c>
      <c r="B271" s="2" t="s">
        <v>321</v>
      </c>
      <c r="C271" s="2" t="s">
        <v>368</v>
      </c>
      <c r="D271" s="2" t="s">
        <v>371</v>
      </c>
      <c r="E271" s="4">
        <f t="shared" si="4"/>
        <v>0</v>
      </c>
    </row>
    <row r="272" spans="1:5" x14ac:dyDescent="0.25">
      <c r="A272">
        <v>60704</v>
      </c>
      <c r="B272" s="2" t="s">
        <v>321</v>
      </c>
      <c r="C272" s="2" t="s">
        <v>368</v>
      </c>
      <c r="D272" s="2" t="s">
        <v>372</v>
      </c>
      <c r="E272" s="4">
        <f t="shared" si="4"/>
        <v>0</v>
      </c>
    </row>
    <row r="273" spans="1:5" x14ac:dyDescent="0.25">
      <c r="A273">
        <v>60705</v>
      </c>
      <c r="B273" s="2" t="s">
        <v>321</v>
      </c>
      <c r="C273" s="2" t="s">
        <v>368</v>
      </c>
      <c r="D273" s="2" t="s">
        <v>373</v>
      </c>
      <c r="E273" s="4">
        <f t="shared" si="4"/>
        <v>0</v>
      </c>
    </row>
    <row r="274" spans="1:5" x14ac:dyDescent="0.25">
      <c r="A274">
        <v>70101</v>
      </c>
      <c r="B274" s="2" t="s">
        <v>374</v>
      </c>
      <c r="C274" s="2" t="s">
        <v>375</v>
      </c>
      <c r="D274" s="2" t="s">
        <v>376</v>
      </c>
      <c r="E274" s="4">
        <f t="shared" si="4"/>
        <v>0</v>
      </c>
    </row>
    <row r="275" spans="1:5" x14ac:dyDescent="0.25">
      <c r="A275">
        <v>70102</v>
      </c>
      <c r="B275" s="2" t="s">
        <v>374</v>
      </c>
      <c r="C275" s="2" t="s">
        <v>375</v>
      </c>
      <c r="D275" s="2" t="s">
        <v>377</v>
      </c>
      <c r="E275" s="4">
        <f t="shared" si="4"/>
        <v>0</v>
      </c>
    </row>
    <row r="276" spans="1:5" x14ac:dyDescent="0.25">
      <c r="A276">
        <v>70103</v>
      </c>
      <c r="B276" s="2" t="s">
        <v>374</v>
      </c>
      <c r="C276" s="2" t="s">
        <v>375</v>
      </c>
      <c r="D276" s="2" t="s">
        <v>378</v>
      </c>
      <c r="E276" s="4">
        <f t="shared" si="4"/>
        <v>0</v>
      </c>
    </row>
    <row r="277" spans="1:5" x14ac:dyDescent="0.25">
      <c r="A277">
        <v>70104</v>
      </c>
      <c r="B277" s="2" t="s">
        <v>374</v>
      </c>
      <c r="C277" s="2" t="s">
        <v>375</v>
      </c>
      <c r="D277" s="2" t="s">
        <v>379</v>
      </c>
      <c r="E277" s="4">
        <f t="shared" si="4"/>
        <v>0</v>
      </c>
    </row>
    <row r="278" spans="1:5" x14ac:dyDescent="0.25">
      <c r="A278">
        <v>70105</v>
      </c>
      <c r="B278" s="2" t="s">
        <v>374</v>
      </c>
      <c r="C278" s="2" t="s">
        <v>375</v>
      </c>
      <c r="D278" s="2" t="s">
        <v>380</v>
      </c>
      <c r="E278" s="4">
        <f t="shared" si="4"/>
        <v>0</v>
      </c>
    </row>
    <row r="279" spans="1:5" x14ac:dyDescent="0.25">
      <c r="A279">
        <v>70106</v>
      </c>
      <c r="B279" s="2" t="s">
        <v>374</v>
      </c>
      <c r="C279" s="2" t="s">
        <v>375</v>
      </c>
      <c r="D279" s="2" t="s">
        <v>381</v>
      </c>
      <c r="E279" s="4">
        <f t="shared" si="4"/>
        <v>0</v>
      </c>
    </row>
    <row r="280" spans="1:5" x14ac:dyDescent="0.25">
      <c r="A280">
        <v>70107</v>
      </c>
      <c r="B280" s="2" t="s">
        <v>374</v>
      </c>
      <c r="C280" s="2" t="s">
        <v>375</v>
      </c>
      <c r="D280" s="2" t="s">
        <v>382</v>
      </c>
      <c r="E280" s="4">
        <f t="shared" si="4"/>
        <v>0</v>
      </c>
    </row>
    <row r="281" spans="1:5" x14ac:dyDescent="0.25">
      <c r="A281">
        <v>70108</v>
      </c>
      <c r="B281" s="2" t="s">
        <v>374</v>
      </c>
      <c r="C281" s="2" t="s">
        <v>375</v>
      </c>
      <c r="D281" s="2" t="s">
        <v>383</v>
      </c>
      <c r="E281" s="4">
        <f t="shared" si="4"/>
        <v>0</v>
      </c>
    </row>
    <row r="282" spans="1:5" x14ac:dyDescent="0.25">
      <c r="A282">
        <v>70109</v>
      </c>
      <c r="B282" s="2" t="s">
        <v>374</v>
      </c>
      <c r="C282" s="2" t="s">
        <v>375</v>
      </c>
      <c r="D282" s="2" t="s">
        <v>384</v>
      </c>
      <c r="E282" s="4">
        <f t="shared" si="4"/>
        <v>0</v>
      </c>
    </row>
    <row r="283" spans="1:5" x14ac:dyDescent="0.25">
      <c r="A283">
        <v>70110</v>
      </c>
      <c r="B283" s="2" t="s">
        <v>374</v>
      </c>
      <c r="C283" s="2" t="s">
        <v>375</v>
      </c>
      <c r="D283" s="2" t="s">
        <v>385</v>
      </c>
      <c r="E283" s="4">
        <f t="shared" si="4"/>
        <v>0</v>
      </c>
    </row>
    <row r="284" spans="1:5" x14ac:dyDescent="0.25">
      <c r="A284">
        <v>70201</v>
      </c>
      <c r="B284" s="2" t="s">
        <v>374</v>
      </c>
      <c r="C284" s="2" t="s">
        <v>105</v>
      </c>
      <c r="D284" s="2" t="s">
        <v>386</v>
      </c>
      <c r="E284" s="4">
        <f t="shared" si="4"/>
        <v>0</v>
      </c>
    </row>
    <row r="285" spans="1:5" x14ac:dyDescent="0.25">
      <c r="A285">
        <v>70202</v>
      </c>
      <c r="B285" s="2" t="s">
        <v>374</v>
      </c>
      <c r="C285" s="2" t="s">
        <v>105</v>
      </c>
      <c r="D285" s="2" t="s">
        <v>387</v>
      </c>
      <c r="E285" s="4">
        <f t="shared" si="4"/>
        <v>0</v>
      </c>
    </row>
    <row r="286" spans="1:5" x14ac:dyDescent="0.25">
      <c r="A286">
        <v>70203</v>
      </c>
      <c r="B286" s="2" t="s">
        <v>374</v>
      </c>
      <c r="C286" s="2" t="s">
        <v>105</v>
      </c>
      <c r="D286" s="2" t="s">
        <v>388</v>
      </c>
      <c r="E286" s="4">
        <f t="shared" si="4"/>
        <v>0</v>
      </c>
    </row>
    <row r="287" spans="1:5" x14ac:dyDescent="0.25">
      <c r="A287">
        <v>70204</v>
      </c>
      <c r="B287" s="2" t="s">
        <v>374</v>
      </c>
      <c r="C287" s="2" t="s">
        <v>105</v>
      </c>
      <c r="D287" s="2" t="s">
        <v>389</v>
      </c>
      <c r="E287" s="4">
        <f t="shared" si="4"/>
        <v>0</v>
      </c>
    </row>
    <row r="288" spans="1:5" x14ac:dyDescent="0.25">
      <c r="A288">
        <v>70205</v>
      </c>
      <c r="B288" s="2" t="s">
        <v>374</v>
      </c>
      <c r="C288" s="2" t="s">
        <v>105</v>
      </c>
      <c r="D288" s="2" t="s">
        <v>390</v>
      </c>
      <c r="E288" s="4">
        <f t="shared" si="4"/>
        <v>0</v>
      </c>
    </row>
    <row r="289" spans="1:5" x14ac:dyDescent="0.25">
      <c r="A289">
        <v>70206</v>
      </c>
      <c r="B289" s="2" t="s">
        <v>374</v>
      </c>
      <c r="C289" s="2" t="s">
        <v>105</v>
      </c>
      <c r="D289" s="2" t="s">
        <v>391</v>
      </c>
      <c r="E289" s="4">
        <f t="shared" si="4"/>
        <v>0</v>
      </c>
    </row>
    <row r="290" spans="1:5" x14ac:dyDescent="0.25">
      <c r="A290">
        <v>70207</v>
      </c>
      <c r="B290" s="2" t="s">
        <v>374</v>
      </c>
      <c r="C290" s="2" t="s">
        <v>105</v>
      </c>
      <c r="D290" s="2" t="s">
        <v>392</v>
      </c>
      <c r="E290" s="4">
        <f t="shared" si="4"/>
        <v>0</v>
      </c>
    </row>
    <row r="291" spans="1:5" x14ac:dyDescent="0.25">
      <c r="A291">
        <v>70208</v>
      </c>
      <c r="B291" s="2" t="s">
        <v>374</v>
      </c>
      <c r="C291" s="2" t="s">
        <v>105</v>
      </c>
      <c r="D291" s="2" t="s">
        <v>364</v>
      </c>
      <c r="E291" s="4">
        <f t="shared" si="4"/>
        <v>0</v>
      </c>
    </row>
    <row r="292" spans="1:5" x14ac:dyDescent="0.25">
      <c r="A292">
        <v>70209</v>
      </c>
      <c r="B292" s="2" t="s">
        <v>374</v>
      </c>
      <c r="C292" s="2" t="s">
        <v>105</v>
      </c>
      <c r="D292" s="2" t="s">
        <v>393</v>
      </c>
      <c r="E292" s="4">
        <f t="shared" si="4"/>
        <v>0</v>
      </c>
    </row>
    <row r="293" spans="1:5" x14ac:dyDescent="0.25">
      <c r="A293">
        <v>70210</v>
      </c>
      <c r="B293" s="2" t="s">
        <v>374</v>
      </c>
      <c r="C293" s="2" t="s">
        <v>105</v>
      </c>
      <c r="D293" s="2" t="s">
        <v>394</v>
      </c>
      <c r="E293" s="4">
        <f t="shared" si="4"/>
        <v>0</v>
      </c>
    </row>
    <row r="294" spans="1:5" x14ac:dyDescent="0.25">
      <c r="A294">
        <v>70211</v>
      </c>
      <c r="B294" s="2" t="s">
        <v>374</v>
      </c>
      <c r="C294" s="2" t="s">
        <v>105</v>
      </c>
      <c r="D294" s="2" t="s">
        <v>395</v>
      </c>
      <c r="E294" s="4">
        <f t="shared" si="4"/>
        <v>0</v>
      </c>
    </row>
    <row r="295" spans="1:5" x14ac:dyDescent="0.25">
      <c r="A295">
        <v>70212</v>
      </c>
      <c r="B295" s="2" t="s">
        <v>374</v>
      </c>
      <c r="C295" s="2" t="s">
        <v>105</v>
      </c>
      <c r="D295" s="2" t="s">
        <v>396</v>
      </c>
      <c r="E295" s="4">
        <f t="shared" si="4"/>
        <v>0</v>
      </c>
    </row>
    <row r="296" spans="1:5" x14ac:dyDescent="0.25">
      <c r="A296">
        <v>70213</v>
      </c>
      <c r="B296" s="2" t="s">
        <v>374</v>
      </c>
      <c r="C296" s="2" t="s">
        <v>105</v>
      </c>
      <c r="D296" s="2" t="s">
        <v>397</v>
      </c>
      <c r="E296" s="4">
        <f t="shared" si="4"/>
        <v>0</v>
      </c>
    </row>
    <row r="297" spans="1:5" x14ac:dyDescent="0.25">
      <c r="A297">
        <v>70214</v>
      </c>
      <c r="B297" s="2" t="s">
        <v>374</v>
      </c>
      <c r="C297" s="2" t="s">
        <v>105</v>
      </c>
      <c r="D297" s="2" t="s">
        <v>398</v>
      </c>
      <c r="E297" s="4">
        <f t="shared" si="4"/>
        <v>0</v>
      </c>
    </row>
    <row r="298" spans="1:5" x14ac:dyDescent="0.25">
      <c r="A298">
        <v>70215</v>
      </c>
      <c r="B298" s="2" t="s">
        <v>374</v>
      </c>
      <c r="C298" s="2" t="s">
        <v>105</v>
      </c>
      <c r="D298" s="2" t="s">
        <v>399</v>
      </c>
      <c r="E298" s="4">
        <f t="shared" si="4"/>
        <v>0</v>
      </c>
    </row>
    <row r="299" spans="1:5" x14ac:dyDescent="0.25">
      <c r="A299">
        <v>70216</v>
      </c>
      <c r="B299" s="2" t="s">
        <v>374</v>
      </c>
      <c r="C299" s="2" t="s">
        <v>105</v>
      </c>
      <c r="D299" s="2" t="s">
        <v>202</v>
      </c>
      <c r="E299" s="4">
        <f t="shared" si="4"/>
        <v>0</v>
      </c>
    </row>
    <row r="300" spans="1:5" x14ac:dyDescent="0.25">
      <c r="A300">
        <v>70217</v>
      </c>
      <c r="B300" s="2" t="s">
        <v>374</v>
      </c>
      <c r="C300" s="2" t="s">
        <v>105</v>
      </c>
      <c r="D300" s="2" t="s">
        <v>400</v>
      </c>
      <c r="E300" s="4">
        <f t="shared" si="4"/>
        <v>0</v>
      </c>
    </row>
    <row r="301" spans="1:5" x14ac:dyDescent="0.25">
      <c r="A301">
        <v>70218</v>
      </c>
      <c r="B301" s="2" t="s">
        <v>374</v>
      </c>
      <c r="C301" s="2" t="s">
        <v>105</v>
      </c>
      <c r="D301" s="2" t="s">
        <v>401</v>
      </c>
      <c r="E301" s="4">
        <f t="shared" si="4"/>
        <v>0</v>
      </c>
    </row>
    <row r="302" spans="1:5" x14ac:dyDescent="0.25">
      <c r="A302">
        <v>70219</v>
      </c>
      <c r="B302" s="2" t="s">
        <v>374</v>
      </c>
      <c r="C302" s="2" t="s">
        <v>105</v>
      </c>
      <c r="D302" s="2" t="s">
        <v>402</v>
      </c>
      <c r="E302" s="4">
        <f t="shared" si="4"/>
        <v>0</v>
      </c>
    </row>
    <row r="303" spans="1:5" x14ac:dyDescent="0.25">
      <c r="A303">
        <v>70220</v>
      </c>
      <c r="B303" s="2" t="s">
        <v>374</v>
      </c>
      <c r="C303" s="2" t="s">
        <v>105</v>
      </c>
      <c r="D303" s="2" t="s">
        <v>403</v>
      </c>
      <c r="E303" s="4">
        <f t="shared" si="4"/>
        <v>0</v>
      </c>
    </row>
    <row r="304" spans="1:5" x14ac:dyDescent="0.25">
      <c r="A304">
        <v>70221</v>
      </c>
      <c r="B304" s="2" t="s">
        <v>374</v>
      </c>
      <c r="C304" s="2" t="s">
        <v>105</v>
      </c>
      <c r="D304" s="2" t="s">
        <v>244</v>
      </c>
      <c r="E304" s="4">
        <f t="shared" si="4"/>
        <v>0</v>
      </c>
    </row>
    <row r="305" spans="1:5" x14ac:dyDescent="0.25">
      <c r="A305">
        <v>70222</v>
      </c>
      <c r="B305" s="2" t="s">
        <v>374</v>
      </c>
      <c r="C305" s="2" t="s">
        <v>105</v>
      </c>
      <c r="D305" s="2" t="s">
        <v>404</v>
      </c>
      <c r="E305" s="4">
        <f t="shared" si="4"/>
        <v>0</v>
      </c>
    </row>
    <row r="306" spans="1:5" x14ac:dyDescent="0.25">
      <c r="A306">
        <v>70223</v>
      </c>
      <c r="B306" s="2" t="s">
        <v>374</v>
      </c>
      <c r="C306" s="2" t="s">
        <v>105</v>
      </c>
      <c r="D306" s="2" t="s">
        <v>405</v>
      </c>
      <c r="E306" s="4">
        <f t="shared" si="4"/>
        <v>0</v>
      </c>
    </row>
    <row r="307" spans="1:5" x14ac:dyDescent="0.25">
      <c r="A307">
        <v>70224</v>
      </c>
      <c r="B307" s="2" t="s">
        <v>374</v>
      </c>
      <c r="C307" s="2" t="s">
        <v>105</v>
      </c>
      <c r="D307" s="2" t="s">
        <v>406</v>
      </c>
      <c r="E307" s="4">
        <f t="shared" si="4"/>
        <v>0</v>
      </c>
    </row>
    <row r="308" spans="1:5" ht="24" x14ac:dyDescent="0.25">
      <c r="A308">
        <v>70301</v>
      </c>
      <c r="B308" s="2" t="s">
        <v>374</v>
      </c>
      <c r="C308" s="2" t="s">
        <v>374</v>
      </c>
      <c r="D308" s="2" t="s">
        <v>407</v>
      </c>
      <c r="E308" s="4">
        <f t="shared" si="4"/>
        <v>0</v>
      </c>
    </row>
    <row r="309" spans="1:5" x14ac:dyDescent="0.25">
      <c r="A309">
        <v>70302</v>
      </c>
      <c r="B309" s="2" t="s">
        <v>374</v>
      </c>
      <c r="C309" s="2" t="s">
        <v>374</v>
      </c>
      <c r="D309" s="2" t="s">
        <v>190</v>
      </c>
      <c r="E309" s="4">
        <f t="shared" si="4"/>
        <v>0</v>
      </c>
    </row>
    <row r="310" spans="1:5" x14ac:dyDescent="0.25">
      <c r="A310">
        <v>70303</v>
      </c>
      <c r="B310" s="2" t="s">
        <v>374</v>
      </c>
      <c r="C310" s="2" t="s">
        <v>374</v>
      </c>
      <c r="D310" s="2" t="s">
        <v>408</v>
      </c>
      <c r="E310" s="4">
        <f t="shared" si="4"/>
        <v>0</v>
      </c>
    </row>
    <row r="311" spans="1:5" x14ac:dyDescent="0.25">
      <c r="A311">
        <v>70304</v>
      </c>
      <c r="B311" s="2" t="s">
        <v>374</v>
      </c>
      <c r="C311" s="2" t="s">
        <v>374</v>
      </c>
      <c r="D311" s="2" t="s">
        <v>409</v>
      </c>
      <c r="E311" s="4">
        <f t="shared" si="4"/>
        <v>0</v>
      </c>
    </row>
    <row r="312" spans="1:5" x14ac:dyDescent="0.25">
      <c r="A312">
        <v>70305</v>
      </c>
      <c r="B312" s="2" t="s">
        <v>374</v>
      </c>
      <c r="C312" s="2" t="s">
        <v>374</v>
      </c>
      <c r="D312" s="2" t="s">
        <v>410</v>
      </c>
      <c r="E312" s="4">
        <f t="shared" si="4"/>
        <v>0</v>
      </c>
    </row>
    <row r="313" spans="1:5" x14ac:dyDescent="0.25">
      <c r="A313">
        <v>70306</v>
      </c>
      <c r="B313" s="2" t="s">
        <v>374</v>
      </c>
      <c r="C313" s="2" t="s">
        <v>374</v>
      </c>
      <c r="D313" s="2" t="s">
        <v>411</v>
      </c>
      <c r="E313" s="4">
        <f t="shared" si="4"/>
        <v>0</v>
      </c>
    </row>
    <row r="314" spans="1:5" x14ac:dyDescent="0.25">
      <c r="A314">
        <v>70307</v>
      </c>
      <c r="B314" s="2" t="s">
        <v>374</v>
      </c>
      <c r="C314" s="2" t="s">
        <v>374</v>
      </c>
      <c r="D314" s="2" t="s">
        <v>266</v>
      </c>
      <c r="E314" s="4">
        <f t="shared" si="4"/>
        <v>0</v>
      </c>
    </row>
    <row r="315" spans="1:5" x14ac:dyDescent="0.25">
      <c r="A315">
        <v>70308</v>
      </c>
      <c r="B315" s="2" t="s">
        <v>374</v>
      </c>
      <c r="C315" s="2" t="s">
        <v>374</v>
      </c>
      <c r="D315" s="2" t="s">
        <v>412</v>
      </c>
      <c r="E315" s="4">
        <f t="shared" si="4"/>
        <v>0</v>
      </c>
    </row>
    <row r="316" spans="1:5" x14ac:dyDescent="0.25">
      <c r="A316">
        <v>70309</v>
      </c>
      <c r="B316" s="2" t="s">
        <v>374</v>
      </c>
      <c r="C316" s="2" t="s">
        <v>374</v>
      </c>
      <c r="D316" s="2" t="s">
        <v>413</v>
      </c>
      <c r="E316" s="4">
        <f t="shared" si="4"/>
        <v>0</v>
      </c>
    </row>
    <row r="317" spans="1:5" x14ac:dyDescent="0.25">
      <c r="A317">
        <v>70310</v>
      </c>
      <c r="B317" s="2" t="s">
        <v>374</v>
      </c>
      <c r="C317" s="2" t="s">
        <v>374</v>
      </c>
      <c r="D317" s="2" t="s">
        <v>366</v>
      </c>
      <c r="E317" s="4">
        <f t="shared" si="4"/>
        <v>0</v>
      </c>
    </row>
    <row r="318" spans="1:5" x14ac:dyDescent="0.25">
      <c r="A318">
        <v>70311</v>
      </c>
      <c r="B318" s="2" t="s">
        <v>374</v>
      </c>
      <c r="C318" s="2" t="s">
        <v>374</v>
      </c>
      <c r="D318" s="2" t="s">
        <v>414</v>
      </c>
      <c r="E318" s="4">
        <f t="shared" si="4"/>
        <v>0</v>
      </c>
    </row>
    <row r="319" spans="1:5" x14ac:dyDescent="0.25">
      <c r="A319">
        <v>70312</v>
      </c>
      <c r="B319" s="2" t="s">
        <v>374</v>
      </c>
      <c r="C319" s="2" t="s">
        <v>374</v>
      </c>
      <c r="D319" s="2" t="s">
        <v>415</v>
      </c>
      <c r="E319" s="4">
        <f t="shared" si="4"/>
        <v>0</v>
      </c>
    </row>
    <row r="320" spans="1:5" x14ac:dyDescent="0.25">
      <c r="A320">
        <v>70313</v>
      </c>
      <c r="B320" s="2" t="s">
        <v>374</v>
      </c>
      <c r="C320" s="2" t="s">
        <v>374</v>
      </c>
      <c r="D320" s="2" t="s">
        <v>416</v>
      </c>
      <c r="E320" s="4">
        <f t="shared" si="4"/>
        <v>0</v>
      </c>
    </row>
    <row r="321" spans="1:5" x14ac:dyDescent="0.25">
      <c r="A321">
        <v>70314</v>
      </c>
      <c r="B321" s="2" t="s">
        <v>374</v>
      </c>
      <c r="C321" s="2" t="s">
        <v>374</v>
      </c>
      <c r="D321" s="2" t="s">
        <v>417</v>
      </c>
      <c r="E321" s="4">
        <f t="shared" si="4"/>
        <v>0</v>
      </c>
    </row>
    <row r="322" spans="1:5" x14ac:dyDescent="0.25">
      <c r="A322">
        <v>70401</v>
      </c>
      <c r="B322" s="2" t="s">
        <v>374</v>
      </c>
      <c r="C322" s="2" t="s">
        <v>418</v>
      </c>
      <c r="D322" s="2" t="s">
        <v>419</v>
      </c>
      <c r="E322" s="4">
        <f t="shared" si="4"/>
        <v>0</v>
      </c>
    </row>
    <row r="323" spans="1:5" x14ac:dyDescent="0.25">
      <c r="A323">
        <v>70402</v>
      </c>
      <c r="B323" s="2" t="s">
        <v>374</v>
      </c>
      <c r="C323" s="2" t="s">
        <v>418</v>
      </c>
      <c r="D323" s="2" t="s">
        <v>420</v>
      </c>
      <c r="E323" s="4">
        <f t="shared" si="4"/>
        <v>0</v>
      </c>
    </row>
    <row r="324" spans="1:5" x14ac:dyDescent="0.25">
      <c r="A324">
        <v>70403</v>
      </c>
      <c r="B324" s="2" t="s">
        <v>374</v>
      </c>
      <c r="C324" s="2" t="s">
        <v>418</v>
      </c>
      <c r="D324" s="2" t="s">
        <v>421</v>
      </c>
      <c r="E324" s="4">
        <f t="shared" si="4"/>
        <v>0</v>
      </c>
    </row>
    <row r="325" spans="1:5" x14ac:dyDescent="0.25">
      <c r="A325">
        <v>70404</v>
      </c>
      <c r="B325" s="2" t="s">
        <v>374</v>
      </c>
      <c r="C325" s="2" t="s">
        <v>418</v>
      </c>
      <c r="D325" s="2" t="s">
        <v>422</v>
      </c>
      <c r="E325" s="4">
        <f t="shared" ref="E325:E388" si="5">SUM(F325:AEZ325)</f>
        <v>0</v>
      </c>
    </row>
    <row r="326" spans="1:5" x14ac:dyDescent="0.25">
      <c r="A326">
        <v>70405</v>
      </c>
      <c r="B326" s="2" t="s">
        <v>374</v>
      </c>
      <c r="C326" s="2" t="s">
        <v>418</v>
      </c>
      <c r="D326" s="2" t="s">
        <v>423</v>
      </c>
      <c r="E326" s="4">
        <f t="shared" si="5"/>
        <v>0</v>
      </c>
    </row>
    <row r="327" spans="1:5" x14ac:dyDescent="0.25">
      <c r="A327">
        <v>70406</v>
      </c>
      <c r="B327" s="2" t="s">
        <v>374</v>
      </c>
      <c r="C327" s="2" t="s">
        <v>418</v>
      </c>
      <c r="D327" s="2" t="s">
        <v>340</v>
      </c>
      <c r="E327" s="4">
        <f t="shared" si="5"/>
        <v>0</v>
      </c>
    </row>
    <row r="328" spans="1:5" x14ac:dyDescent="0.25">
      <c r="A328">
        <v>70407</v>
      </c>
      <c r="B328" s="2" t="s">
        <v>374</v>
      </c>
      <c r="C328" s="2" t="s">
        <v>418</v>
      </c>
      <c r="D328" s="2" t="s">
        <v>424</v>
      </c>
      <c r="E328" s="4">
        <f t="shared" si="5"/>
        <v>0</v>
      </c>
    </row>
    <row r="329" spans="1:5" x14ac:dyDescent="0.25">
      <c r="A329">
        <v>70408</v>
      </c>
      <c r="B329" s="2" t="s">
        <v>374</v>
      </c>
      <c r="C329" s="2" t="s">
        <v>418</v>
      </c>
      <c r="D329" s="2" t="s">
        <v>425</v>
      </c>
      <c r="E329" s="4">
        <f t="shared" si="5"/>
        <v>0</v>
      </c>
    </row>
    <row r="330" spans="1:5" x14ac:dyDescent="0.25">
      <c r="A330">
        <v>70409</v>
      </c>
      <c r="B330" s="2" t="s">
        <v>374</v>
      </c>
      <c r="C330" s="2" t="s">
        <v>418</v>
      </c>
      <c r="D330" s="2" t="s">
        <v>426</v>
      </c>
      <c r="E330" s="4">
        <f t="shared" si="5"/>
        <v>0</v>
      </c>
    </row>
    <row r="331" spans="1:5" x14ac:dyDescent="0.25">
      <c r="A331">
        <v>70410</v>
      </c>
      <c r="B331" s="2" t="s">
        <v>374</v>
      </c>
      <c r="C331" s="2" t="s">
        <v>418</v>
      </c>
      <c r="D331" s="2" t="s">
        <v>427</v>
      </c>
      <c r="E331" s="4">
        <f t="shared" si="5"/>
        <v>0</v>
      </c>
    </row>
    <row r="332" spans="1:5" x14ac:dyDescent="0.25">
      <c r="A332">
        <v>70411</v>
      </c>
      <c r="B332" s="2" t="s">
        <v>374</v>
      </c>
      <c r="C332" s="2" t="s">
        <v>418</v>
      </c>
      <c r="D332" s="2" t="s">
        <v>428</v>
      </c>
      <c r="E332" s="4">
        <f t="shared" si="5"/>
        <v>0</v>
      </c>
    </row>
    <row r="333" spans="1:5" x14ac:dyDescent="0.25">
      <c r="A333">
        <v>70501</v>
      </c>
      <c r="B333" s="2" t="s">
        <v>374</v>
      </c>
      <c r="C333" s="2" t="s">
        <v>429</v>
      </c>
      <c r="D333" s="2" t="s">
        <v>430</v>
      </c>
      <c r="E333" s="4">
        <f t="shared" si="5"/>
        <v>0</v>
      </c>
    </row>
    <row r="334" spans="1:5" x14ac:dyDescent="0.25">
      <c r="A334">
        <v>70502</v>
      </c>
      <c r="B334" s="2" t="s">
        <v>374</v>
      </c>
      <c r="C334" s="2" t="s">
        <v>429</v>
      </c>
      <c r="D334" s="2" t="s">
        <v>431</v>
      </c>
      <c r="E334" s="4">
        <f t="shared" si="5"/>
        <v>0</v>
      </c>
    </row>
    <row r="335" spans="1:5" x14ac:dyDescent="0.25">
      <c r="A335">
        <v>70503</v>
      </c>
      <c r="B335" s="2" t="s">
        <v>374</v>
      </c>
      <c r="C335" s="2" t="s">
        <v>429</v>
      </c>
      <c r="D335" s="2" t="s">
        <v>432</v>
      </c>
      <c r="E335" s="4">
        <f t="shared" si="5"/>
        <v>0</v>
      </c>
    </row>
    <row r="336" spans="1:5" x14ac:dyDescent="0.25">
      <c r="A336">
        <v>70504</v>
      </c>
      <c r="B336" s="2" t="s">
        <v>374</v>
      </c>
      <c r="C336" s="2" t="s">
        <v>429</v>
      </c>
      <c r="D336" s="2" t="s">
        <v>433</v>
      </c>
      <c r="E336" s="4">
        <f t="shared" si="5"/>
        <v>0</v>
      </c>
    </row>
    <row r="337" spans="1:5" x14ac:dyDescent="0.25">
      <c r="A337">
        <v>70505</v>
      </c>
      <c r="B337" s="2" t="s">
        <v>374</v>
      </c>
      <c r="C337" s="2" t="s">
        <v>429</v>
      </c>
      <c r="D337" s="2" t="s">
        <v>434</v>
      </c>
      <c r="E337" s="4">
        <f t="shared" si="5"/>
        <v>0</v>
      </c>
    </row>
    <row r="338" spans="1:5" x14ac:dyDescent="0.25">
      <c r="A338">
        <v>70601</v>
      </c>
      <c r="B338" s="2" t="s">
        <v>374</v>
      </c>
      <c r="C338" s="2" t="s">
        <v>121</v>
      </c>
      <c r="D338" s="2" t="s">
        <v>435</v>
      </c>
      <c r="E338" s="4">
        <f t="shared" si="5"/>
        <v>0</v>
      </c>
    </row>
    <row r="339" spans="1:5" x14ac:dyDescent="0.25">
      <c r="A339">
        <v>70602</v>
      </c>
      <c r="B339" s="2" t="s">
        <v>374</v>
      </c>
      <c r="C339" s="2" t="s">
        <v>121</v>
      </c>
      <c r="D339" s="2" t="s">
        <v>436</v>
      </c>
      <c r="E339" s="4">
        <f t="shared" si="5"/>
        <v>0</v>
      </c>
    </row>
    <row r="340" spans="1:5" x14ac:dyDescent="0.25">
      <c r="A340">
        <v>70603</v>
      </c>
      <c r="B340" s="2" t="s">
        <v>374</v>
      </c>
      <c r="C340" s="2" t="s">
        <v>121</v>
      </c>
      <c r="D340" s="2" t="s">
        <v>437</v>
      </c>
      <c r="E340" s="4">
        <f t="shared" si="5"/>
        <v>0</v>
      </c>
    </row>
    <row r="341" spans="1:5" x14ac:dyDescent="0.25">
      <c r="A341">
        <v>70604</v>
      </c>
      <c r="B341" s="2" t="s">
        <v>374</v>
      </c>
      <c r="C341" s="2" t="s">
        <v>121</v>
      </c>
      <c r="D341" s="2" t="s">
        <v>228</v>
      </c>
      <c r="E341" s="4">
        <f t="shared" si="5"/>
        <v>0</v>
      </c>
    </row>
    <row r="342" spans="1:5" x14ac:dyDescent="0.25">
      <c r="A342">
        <v>70605</v>
      </c>
      <c r="B342" s="2" t="s">
        <v>374</v>
      </c>
      <c r="C342" s="2" t="s">
        <v>121</v>
      </c>
      <c r="D342" s="2" t="s">
        <v>438</v>
      </c>
      <c r="E342" s="4">
        <f t="shared" si="5"/>
        <v>0</v>
      </c>
    </row>
    <row r="343" spans="1:5" x14ac:dyDescent="0.25">
      <c r="A343">
        <v>70701</v>
      </c>
      <c r="B343" s="2" t="s">
        <v>374</v>
      </c>
      <c r="C343" s="2" t="s">
        <v>439</v>
      </c>
      <c r="D343" s="2" t="s">
        <v>440</v>
      </c>
      <c r="E343" s="4">
        <f t="shared" si="5"/>
        <v>0</v>
      </c>
    </row>
    <row r="344" spans="1:5" x14ac:dyDescent="0.25">
      <c r="A344">
        <v>70702</v>
      </c>
      <c r="B344" s="2" t="s">
        <v>374</v>
      </c>
      <c r="C344" s="2" t="s">
        <v>439</v>
      </c>
      <c r="D344" s="2" t="s">
        <v>441</v>
      </c>
      <c r="E344" s="4">
        <f t="shared" si="5"/>
        <v>0</v>
      </c>
    </row>
    <row r="345" spans="1:5" x14ac:dyDescent="0.25">
      <c r="A345">
        <v>70703</v>
      </c>
      <c r="B345" s="2" t="s">
        <v>374</v>
      </c>
      <c r="C345" s="2" t="s">
        <v>439</v>
      </c>
      <c r="D345" s="2" t="s">
        <v>442</v>
      </c>
      <c r="E345" s="4">
        <f t="shared" si="5"/>
        <v>0</v>
      </c>
    </row>
    <row r="346" spans="1:5" x14ac:dyDescent="0.25">
      <c r="A346">
        <v>70704</v>
      </c>
      <c r="B346" s="2" t="s">
        <v>374</v>
      </c>
      <c r="C346" s="2" t="s">
        <v>439</v>
      </c>
      <c r="D346" s="2" t="s">
        <v>443</v>
      </c>
      <c r="E346" s="4">
        <f t="shared" si="5"/>
        <v>0</v>
      </c>
    </row>
    <row r="347" spans="1:5" x14ac:dyDescent="0.25">
      <c r="A347">
        <v>70705</v>
      </c>
      <c r="B347" s="2" t="s">
        <v>374</v>
      </c>
      <c r="C347" s="2" t="s">
        <v>439</v>
      </c>
      <c r="D347" s="2" t="s">
        <v>444</v>
      </c>
      <c r="E347" s="4">
        <f t="shared" si="5"/>
        <v>0</v>
      </c>
    </row>
    <row r="348" spans="1:5" x14ac:dyDescent="0.25">
      <c r="A348">
        <v>70706</v>
      </c>
      <c r="B348" s="2" t="s">
        <v>374</v>
      </c>
      <c r="C348" s="2" t="s">
        <v>439</v>
      </c>
      <c r="D348" s="2" t="s">
        <v>445</v>
      </c>
      <c r="E348" s="4">
        <f t="shared" si="5"/>
        <v>0</v>
      </c>
    </row>
    <row r="349" spans="1:5" x14ac:dyDescent="0.25">
      <c r="A349">
        <v>70707</v>
      </c>
      <c r="B349" s="2" t="s">
        <v>374</v>
      </c>
      <c r="C349" s="2" t="s">
        <v>439</v>
      </c>
      <c r="D349" s="2" t="s">
        <v>446</v>
      </c>
      <c r="E349" s="4">
        <f t="shared" si="5"/>
        <v>0</v>
      </c>
    </row>
    <row r="350" spans="1:5" x14ac:dyDescent="0.25">
      <c r="A350">
        <v>70708</v>
      </c>
      <c r="B350" s="2" t="s">
        <v>374</v>
      </c>
      <c r="C350" s="2" t="s">
        <v>439</v>
      </c>
      <c r="D350" s="2" t="s">
        <v>447</v>
      </c>
      <c r="E350" s="4">
        <f t="shared" si="5"/>
        <v>0</v>
      </c>
    </row>
    <row r="351" spans="1:5" x14ac:dyDescent="0.25">
      <c r="A351">
        <v>70709</v>
      </c>
      <c r="B351" s="2" t="s">
        <v>374</v>
      </c>
      <c r="C351" s="2" t="s">
        <v>439</v>
      </c>
      <c r="D351" s="2" t="s">
        <v>448</v>
      </c>
      <c r="E351" s="4">
        <f t="shared" si="5"/>
        <v>0</v>
      </c>
    </row>
    <row r="352" spans="1:5" x14ac:dyDescent="0.25">
      <c r="A352">
        <v>70710</v>
      </c>
      <c r="B352" s="2" t="s">
        <v>374</v>
      </c>
      <c r="C352" s="2" t="s">
        <v>439</v>
      </c>
      <c r="D352" s="2" t="s">
        <v>449</v>
      </c>
      <c r="E352" s="4">
        <f t="shared" si="5"/>
        <v>0</v>
      </c>
    </row>
    <row r="353" spans="1:5" x14ac:dyDescent="0.25">
      <c r="A353">
        <v>70711</v>
      </c>
      <c r="B353" s="2" t="s">
        <v>374</v>
      </c>
      <c r="C353" s="2" t="s">
        <v>439</v>
      </c>
      <c r="D353" s="2" t="s">
        <v>450</v>
      </c>
      <c r="E353" s="4">
        <f t="shared" si="5"/>
        <v>0</v>
      </c>
    </row>
    <row r="354" spans="1:5" x14ac:dyDescent="0.25">
      <c r="A354">
        <v>80201</v>
      </c>
      <c r="B354" s="2" t="s">
        <v>451</v>
      </c>
      <c r="C354" s="2" t="s">
        <v>452</v>
      </c>
      <c r="D354" s="2" t="s">
        <v>453</v>
      </c>
      <c r="E354" s="4">
        <f t="shared" si="5"/>
        <v>0</v>
      </c>
    </row>
    <row r="355" spans="1:5" x14ac:dyDescent="0.25">
      <c r="A355">
        <v>80202</v>
      </c>
      <c r="B355" s="2" t="s">
        <v>451</v>
      </c>
      <c r="C355" s="2" t="s">
        <v>452</v>
      </c>
      <c r="D355" s="2" t="s">
        <v>454</v>
      </c>
      <c r="E355" s="4">
        <f t="shared" si="5"/>
        <v>0</v>
      </c>
    </row>
    <row r="356" spans="1:5" x14ac:dyDescent="0.25">
      <c r="A356">
        <v>80203</v>
      </c>
      <c r="B356" s="2" t="s">
        <v>451</v>
      </c>
      <c r="C356" s="2" t="s">
        <v>452</v>
      </c>
      <c r="D356" s="2" t="s">
        <v>455</v>
      </c>
      <c r="E356" s="4">
        <f t="shared" si="5"/>
        <v>0</v>
      </c>
    </row>
    <row r="357" spans="1:5" x14ac:dyDescent="0.25">
      <c r="A357">
        <v>80204</v>
      </c>
      <c r="B357" s="2" t="s">
        <v>451</v>
      </c>
      <c r="C357" s="2" t="s">
        <v>452</v>
      </c>
      <c r="D357" s="2" t="s">
        <v>456</v>
      </c>
      <c r="E357" s="4">
        <f t="shared" si="5"/>
        <v>0</v>
      </c>
    </row>
    <row r="358" spans="1:5" x14ac:dyDescent="0.25">
      <c r="A358">
        <v>80205</v>
      </c>
      <c r="B358" s="2" t="s">
        <v>451</v>
      </c>
      <c r="C358" s="2" t="s">
        <v>452</v>
      </c>
      <c r="D358" s="2" t="s">
        <v>457</v>
      </c>
      <c r="E358" s="4">
        <f t="shared" si="5"/>
        <v>0</v>
      </c>
    </row>
    <row r="359" spans="1:5" x14ac:dyDescent="0.25">
      <c r="A359">
        <v>80206</v>
      </c>
      <c r="B359" s="2" t="s">
        <v>451</v>
      </c>
      <c r="C359" s="2" t="s">
        <v>452</v>
      </c>
      <c r="D359" s="2" t="s">
        <v>458</v>
      </c>
      <c r="E359" s="4">
        <f t="shared" si="5"/>
        <v>0</v>
      </c>
    </row>
    <row r="360" spans="1:5" x14ac:dyDescent="0.25">
      <c r="A360">
        <v>80501</v>
      </c>
      <c r="B360" s="2" t="s">
        <v>451</v>
      </c>
      <c r="C360" s="2" t="s">
        <v>330</v>
      </c>
      <c r="D360" s="2" t="s">
        <v>459</v>
      </c>
      <c r="E360" s="4">
        <f t="shared" si="5"/>
        <v>0</v>
      </c>
    </row>
    <row r="361" spans="1:5" x14ac:dyDescent="0.25">
      <c r="A361">
        <v>80502</v>
      </c>
      <c r="B361" s="2" t="s">
        <v>451</v>
      </c>
      <c r="C361" s="2" t="s">
        <v>330</v>
      </c>
      <c r="D361" s="2" t="s">
        <v>460</v>
      </c>
      <c r="E361" s="4">
        <f t="shared" si="5"/>
        <v>0</v>
      </c>
    </row>
    <row r="362" spans="1:5" x14ac:dyDescent="0.25">
      <c r="A362">
        <v>80504</v>
      </c>
      <c r="B362" s="2" t="s">
        <v>451</v>
      </c>
      <c r="C362" s="2" t="s">
        <v>330</v>
      </c>
      <c r="D362" s="2" t="s">
        <v>461</v>
      </c>
      <c r="E362" s="4">
        <f t="shared" si="5"/>
        <v>0</v>
      </c>
    </row>
    <row r="363" spans="1:5" x14ac:dyDescent="0.25">
      <c r="A363">
        <v>80504</v>
      </c>
      <c r="B363" s="2" t="s">
        <v>451</v>
      </c>
      <c r="C363" s="2" t="s">
        <v>330</v>
      </c>
      <c r="D363" s="2" t="s">
        <v>461</v>
      </c>
      <c r="E363" s="4">
        <f t="shared" si="5"/>
        <v>0</v>
      </c>
    </row>
    <row r="364" spans="1:5" x14ac:dyDescent="0.25">
      <c r="A364">
        <v>80505</v>
      </c>
      <c r="B364" s="2" t="s">
        <v>451</v>
      </c>
      <c r="C364" s="2" t="s">
        <v>330</v>
      </c>
      <c r="D364" s="2" t="s">
        <v>462</v>
      </c>
      <c r="E364" s="4">
        <f t="shared" si="5"/>
        <v>0</v>
      </c>
    </row>
    <row r="365" spans="1:5" x14ac:dyDescent="0.25">
      <c r="A365">
        <v>80506</v>
      </c>
      <c r="B365" s="2" t="s">
        <v>451</v>
      </c>
      <c r="C365" s="2" t="s">
        <v>330</v>
      </c>
      <c r="D365" s="2" t="s">
        <v>463</v>
      </c>
      <c r="E365" s="4">
        <f t="shared" si="5"/>
        <v>0</v>
      </c>
    </row>
    <row r="366" spans="1:5" x14ac:dyDescent="0.25">
      <c r="A366">
        <v>80506</v>
      </c>
      <c r="B366" s="2" t="s">
        <v>451</v>
      </c>
      <c r="C366" s="2" t="s">
        <v>330</v>
      </c>
      <c r="D366" s="2" t="s">
        <v>464</v>
      </c>
      <c r="E366" s="4">
        <f t="shared" si="5"/>
        <v>0</v>
      </c>
    </row>
    <row r="367" spans="1:5" ht="24" x14ac:dyDescent="0.25">
      <c r="A367">
        <v>80507</v>
      </c>
      <c r="B367" s="2" t="s">
        <v>451</v>
      </c>
      <c r="C367" s="2" t="s">
        <v>330</v>
      </c>
      <c r="D367" s="2" t="s">
        <v>465</v>
      </c>
      <c r="E367" s="4">
        <f t="shared" si="5"/>
        <v>0</v>
      </c>
    </row>
    <row r="368" spans="1:5" ht="24" x14ac:dyDescent="0.25">
      <c r="A368">
        <v>80507</v>
      </c>
      <c r="B368" s="2" t="s">
        <v>451</v>
      </c>
      <c r="C368" s="2" t="s">
        <v>330</v>
      </c>
      <c r="D368" s="2" t="s">
        <v>465</v>
      </c>
      <c r="E368" s="4">
        <f t="shared" si="5"/>
        <v>0</v>
      </c>
    </row>
    <row r="369" spans="1:5" x14ac:dyDescent="0.25">
      <c r="A369">
        <v>80508</v>
      </c>
      <c r="B369" s="2" t="s">
        <v>451</v>
      </c>
      <c r="C369" s="2" t="s">
        <v>330</v>
      </c>
      <c r="D369" s="2" t="s">
        <v>466</v>
      </c>
      <c r="E369" s="4">
        <f t="shared" si="5"/>
        <v>0</v>
      </c>
    </row>
    <row r="370" spans="1:5" x14ac:dyDescent="0.25">
      <c r="A370">
        <v>80601</v>
      </c>
      <c r="B370" s="2" t="s">
        <v>451</v>
      </c>
      <c r="C370" s="2" t="s">
        <v>467</v>
      </c>
      <c r="D370" s="2" t="s">
        <v>468</v>
      </c>
      <c r="E370" s="4">
        <f t="shared" si="5"/>
        <v>0</v>
      </c>
    </row>
    <row r="371" spans="1:5" x14ac:dyDescent="0.25">
      <c r="A371">
        <v>80602</v>
      </c>
      <c r="B371" s="2" t="s">
        <v>451</v>
      </c>
      <c r="C371" s="2" t="s">
        <v>467</v>
      </c>
      <c r="D371" s="2" t="s">
        <v>469</v>
      </c>
      <c r="E371" s="4">
        <f t="shared" si="5"/>
        <v>0</v>
      </c>
    </row>
    <row r="372" spans="1:5" x14ac:dyDescent="0.25">
      <c r="A372">
        <v>80603</v>
      </c>
      <c r="B372" s="2" t="s">
        <v>451</v>
      </c>
      <c r="C372" s="2" t="s">
        <v>467</v>
      </c>
      <c r="D372" s="2" t="s">
        <v>470</v>
      </c>
      <c r="E372" s="4">
        <f t="shared" si="5"/>
        <v>0</v>
      </c>
    </row>
    <row r="373" spans="1:5" x14ac:dyDescent="0.25">
      <c r="A373">
        <v>80604</v>
      </c>
      <c r="B373" s="2" t="s">
        <v>451</v>
      </c>
      <c r="C373" s="2" t="s">
        <v>467</v>
      </c>
      <c r="D373" s="2" t="s">
        <v>471</v>
      </c>
      <c r="E373" s="4">
        <f t="shared" si="5"/>
        <v>0</v>
      </c>
    </row>
    <row r="374" spans="1:5" x14ac:dyDescent="0.25">
      <c r="A374">
        <v>80605</v>
      </c>
      <c r="B374" s="2" t="s">
        <v>451</v>
      </c>
      <c r="C374" s="2" t="s">
        <v>467</v>
      </c>
      <c r="D374" s="2" t="s">
        <v>472</v>
      </c>
      <c r="E374" s="4">
        <f t="shared" si="5"/>
        <v>0</v>
      </c>
    </row>
    <row r="375" spans="1:5" x14ac:dyDescent="0.25">
      <c r="A375">
        <v>80602</v>
      </c>
      <c r="B375" s="2" t="s">
        <v>451</v>
      </c>
      <c r="C375" s="2" t="s">
        <v>467</v>
      </c>
      <c r="D375" s="2" t="s">
        <v>469</v>
      </c>
      <c r="E375" s="4">
        <f t="shared" si="5"/>
        <v>0</v>
      </c>
    </row>
    <row r="376" spans="1:5" x14ac:dyDescent="0.25">
      <c r="A376">
        <v>80801</v>
      </c>
      <c r="B376" s="2" t="s">
        <v>451</v>
      </c>
      <c r="C376" s="2" t="s">
        <v>451</v>
      </c>
      <c r="D376" s="2" t="s">
        <v>473</v>
      </c>
      <c r="E376" s="4">
        <f t="shared" si="5"/>
        <v>0</v>
      </c>
    </row>
    <row r="377" spans="1:5" x14ac:dyDescent="0.25">
      <c r="A377">
        <v>80802</v>
      </c>
      <c r="B377" s="2" t="s">
        <v>451</v>
      </c>
      <c r="C377" s="2" t="s">
        <v>451</v>
      </c>
      <c r="D377" s="2" t="s">
        <v>474</v>
      </c>
      <c r="E377" s="4">
        <f t="shared" si="5"/>
        <v>0</v>
      </c>
    </row>
    <row r="378" spans="1:5" x14ac:dyDescent="0.25">
      <c r="A378">
        <v>80803</v>
      </c>
      <c r="B378" s="2" t="s">
        <v>451</v>
      </c>
      <c r="C378" s="2" t="s">
        <v>451</v>
      </c>
      <c r="D378" s="2" t="s">
        <v>414</v>
      </c>
      <c r="E378" s="4">
        <f t="shared" si="5"/>
        <v>0</v>
      </c>
    </row>
    <row r="379" spans="1:5" x14ac:dyDescent="0.25">
      <c r="A379">
        <v>80804</v>
      </c>
      <c r="B379" s="2" t="s">
        <v>451</v>
      </c>
      <c r="C379" s="2" t="s">
        <v>451</v>
      </c>
      <c r="D379" s="2" t="s">
        <v>475</v>
      </c>
      <c r="E379" s="4">
        <f t="shared" si="5"/>
        <v>0</v>
      </c>
    </row>
    <row r="380" spans="1:5" x14ac:dyDescent="0.25">
      <c r="A380">
        <v>80805</v>
      </c>
      <c r="B380" s="2" t="s">
        <v>451</v>
      </c>
      <c r="C380" s="2" t="s">
        <v>451</v>
      </c>
      <c r="D380" s="2" t="s">
        <v>476</v>
      </c>
      <c r="E380" s="4">
        <f t="shared" si="5"/>
        <v>0</v>
      </c>
    </row>
    <row r="381" spans="1:5" x14ac:dyDescent="0.25">
      <c r="A381">
        <v>80806</v>
      </c>
      <c r="B381" s="2" t="s">
        <v>451</v>
      </c>
      <c r="C381" s="2" t="s">
        <v>451</v>
      </c>
      <c r="D381" s="2" t="s">
        <v>477</v>
      </c>
      <c r="E381" s="4">
        <f t="shared" si="5"/>
        <v>0</v>
      </c>
    </row>
    <row r="382" spans="1:5" x14ac:dyDescent="0.25">
      <c r="A382">
        <v>80807</v>
      </c>
      <c r="B382" s="2" t="s">
        <v>451</v>
      </c>
      <c r="C382" s="2" t="s">
        <v>451</v>
      </c>
      <c r="D382" s="2" t="s">
        <v>294</v>
      </c>
      <c r="E382" s="4">
        <f t="shared" si="5"/>
        <v>0</v>
      </c>
    </row>
    <row r="383" spans="1:5" x14ac:dyDescent="0.25">
      <c r="A383">
        <v>80808</v>
      </c>
      <c r="B383" s="2" t="s">
        <v>451</v>
      </c>
      <c r="C383" s="2" t="s">
        <v>451</v>
      </c>
      <c r="D383" s="2" t="s">
        <v>478</v>
      </c>
      <c r="E383" s="4">
        <f t="shared" si="5"/>
        <v>0</v>
      </c>
    </row>
    <row r="384" spans="1:5" x14ac:dyDescent="0.25">
      <c r="A384">
        <v>80809</v>
      </c>
      <c r="B384" s="2" t="s">
        <v>451</v>
      </c>
      <c r="C384" s="2" t="s">
        <v>451</v>
      </c>
      <c r="D384" s="2" t="s">
        <v>479</v>
      </c>
      <c r="E384" s="4">
        <f t="shared" si="5"/>
        <v>0</v>
      </c>
    </row>
    <row r="385" spans="1:5" x14ac:dyDescent="0.25">
      <c r="A385">
        <v>80810</v>
      </c>
      <c r="B385" s="2" t="s">
        <v>451</v>
      </c>
      <c r="C385" s="2" t="s">
        <v>451</v>
      </c>
      <c r="D385" s="2" t="s">
        <v>480</v>
      </c>
      <c r="E385" s="4">
        <f t="shared" si="5"/>
        <v>0</v>
      </c>
    </row>
    <row r="386" spans="1:5" x14ac:dyDescent="0.25">
      <c r="A386">
        <v>80811</v>
      </c>
      <c r="B386" s="2" t="s">
        <v>451</v>
      </c>
      <c r="C386" s="2" t="s">
        <v>451</v>
      </c>
      <c r="D386" s="2" t="s">
        <v>481</v>
      </c>
      <c r="E386" s="4">
        <f t="shared" si="5"/>
        <v>0</v>
      </c>
    </row>
    <row r="387" spans="1:5" x14ac:dyDescent="0.25">
      <c r="A387">
        <v>80812</v>
      </c>
      <c r="B387" s="2" t="s">
        <v>451</v>
      </c>
      <c r="C387" s="2" t="s">
        <v>451</v>
      </c>
      <c r="D387" s="2" t="s">
        <v>129</v>
      </c>
      <c r="E387" s="4">
        <f t="shared" si="5"/>
        <v>0</v>
      </c>
    </row>
    <row r="388" spans="1:5" x14ac:dyDescent="0.25">
      <c r="A388">
        <v>80813</v>
      </c>
      <c r="B388" s="2" t="s">
        <v>451</v>
      </c>
      <c r="C388" s="2" t="s">
        <v>451</v>
      </c>
      <c r="D388" s="2" t="s">
        <v>229</v>
      </c>
      <c r="E388" s="4">
        <f t="shared" si="5"/>
        <v>0</v>
      </c>
    </row>
    <row r="389" spans="1:5" x14ac:dyDescent="0.25">
      <c r="A389">
        <v>80814</v>
      </c>
      <c r="B389" s="2" t="s">
        <v>451</v>
      </c>
      <c r="C389" s="2" t="s">
        <v>451</v>
      </c>
      <c r="D389" s="2" t="s">
        <v>482</v>
      </c>
      <c r="E389" s="4">
        <f t="shared" ref="E389:E452" si="6">SUM(F389:AEZ389)</f>
        <v>0</v>
      </c>
    </row>
    <row r="390" spans="1:5" x14ac:dyDescent="0.25">
      <c r="A390">
        <v>80815</v>
      </c>
      <c r="B390" s="2" t="s">
        <v>451</v>
      </c>
      <c r="C390" s="2" t="s">
        <v>451</v>
      </c>
      <c r="D390" s="2" t="s">
        <v>482</v>
      </c>
      <c r="E390" s="4">
        <f t="shared" si="6"/>
        <v>0</v>
      </c>
    </row>
    <row r="391" spans="1:5" x14ac:dyDescent="0.25">
      <c r="A391">
        <v>80815</v>
      </c>
      <c r="B391" s="2" t="s">
        <v>451</v>
      </c>
      <c r="C391" s="2" t="s">
        <v>451</v>
      </c>
      <c r="D391" s="2" t="s">
        <v>483</v>
      </c>
      <c r="E391" s="4">
        <f t="shared" si="6"/>
        <v>0</v>
      </c>
    </row>
    <row r="392" spans="1:5" x14ac:dyDescent="0.25">
      <c r="A392">
        <v>80816</v>
      </c>
      <c r="B392" s="2" t="s">
        <v>451</v>
      </c>
      <c r="C392" s="2" t="s">
        <v>451</v>
      </c>
      <c r="D392" s="2" t="s">
        <v>484</v>
      </c>
      <c r="E392" s="4">
        <f t="shared" si="6"/>
        <v>0</v>
      </c>
    </row>
    <row r="393" spans="1:5" x14ac:dyDescent="0.25">
      <c r="A393">
        <v>80817</v>
      </c>
      <c r="B393" s="2" t="s">
        <v>451</v>
      </c>
      <c r="C393" s="2" t="s">
        <v>451</v>
      </c>
      <c r="D393" s="2" t="s">
        <v>485</v>
      </c>
      <c r="E393" s="4">
        <f t="shared" si="6"/>
        <v>0</v>
      </c>
    </row>
    <row r="394" spans="1:5" x14ac:dyDescent="0.25">
      <c r="A394">
        <v>80817</v>
      </c>
      <c r="B394" s="2" t="s">
        <v>451</v>
      </c>
      <c r="C394" s="2" t="s">
        <v>451</v>
      </c>
      <c r="D394" s="2" t="s">
        <v>486</v>
      </c>
      <c r="E394" s="4">
        <f t="shared" si="6"/>
        <v>0</v>
      </c>
    </row>
    <row r="395" spans="1:5" x14ac:dyDescent="0.25">
      <c r="A395">
        <v>80818</v>
      </c>
      <c r="B395" s="2" t="s">
        <v>451</v>
      </c>
      <c r="C395" s="2" t="s">
        <v>451</v>
      </c>
      <c r="D395" s="2" t="s">
        <v>487</v>
      </c>
      <c r="E395" s="4">
        <f t="shared" si="6"/>
        <v>0</v>
      </c>
    </row>
    <row r="396" spans="1:5" x14ac:dyDescent="0.25">
      <c r="A396">
        <v>80819</v>
      </c>
      <c r="B396" s="2" t="s">
        <v>451</v>
      </c>
      <c r="C396" s="2" t="s">
        <v>451</v>
      </c>
      <c r="D396" s="2" t="s">
        <v>488</v>
      </c>
      <c r="E396" s="4">
        <f t="shared" si="6"/>
        <v>0</v>
      </c>
    </row>
    <row r="397" spans="1:5" x14ac:dyDescent="0.25">
      <c r="A397">
        <v>80820</v>
      </c>
      <c r="B397" s="2" t="s">
        <v>451</v>
      </c>
      <c r="C397" s="2" t="s">
        <v>451</v>
      </c>
      <c r="D397" s="2" t="s">
        <v>489</v>
      </c>
      <c r="E397" s="4">
        <f t="shared" si="6"/>
        <v>0</v>
      </c>
    </row>
    <row r="398" spans="1:5" x14ac:dyDescent="0.25">
      <c r="A398">
        <v>80821</v>
      </c>
      <c r="B398" s="2" t="s">
        <v>451</v>
      </c>
      <c r="C398" s="2" t="s">
        <v>451</v>
      </c>
      <c r="D398" s="2" t="s">
        <v>490</v>
      </c>
      <c r="E398" s="4">
        <f t="shared" si="6"/>
        <v>0</v>
      </c>
    </row>
    <row r="399" spans="1:5" x14ac:dyDescent="0.25">
      <c r="A399">
        <v>80822</v>
      </c>
      <c r="B399" s="2" t="s">
        <v>451</v>
      </c>
      <c r="C399" s="2" t="s">
        <v>451</v>
      </c>
      <c r="D399" s="2" t="s">
        <v>491</v>
      </c>
      <c r="E399" s="4">
        <f t="shared" si="6"/>
        <v>0</v>
      </c>
    </row>
    <row r="400" spans="1:5" x14ac:dyDescent="0.25">
      <c r="A400">
        <v>80823</v>
      </c>
      <c r="B400" s="2" t="s">
        <v>451</v>
      </c>
      <c r="C400" s="2" t="s">
        <v>451</v>
      </c>
      <c r="D400" s="2" t="s">
        <v>492</v>
      </c>
      <c r="E400" s="4">
        <f t="shared" si="6"/>
        <v>0</v>
      </c>
    </row>
    <row r="401" spans="1:5" x14ac:dyDescent="0.25">
      <c r="A401">
        <v>80814</v>
      </c>
      <c r="B401" s="2" t="s">
        <v>451</v>
      </c>
      <c r="C401" s="2" t="s">
        <v>451</v>
      </c>
      <c r="D401" s="2" t="s">
        <v>493</v>
      </c>
      <c r="E401" s="4">
        <f t="shared" si="6"/>
        <v>0</v>
      </c>
    </row>
    <row r="402" spans="1:5" x14ac:dyDescent="0.25">
      <c r="A402">
        <v>80814</v>
      </c>
      <c r="B402" s="2" t="s">
        <v>451</v>
      </c>
      <c r="C402" s="2" t="s">
        <v>451</v>
      </c>
      <c r="D402" s="2" t="s">
        <v>493</v>
      </c>
      <c r="E402" s="4">
        <f t="shared" si="6"/>
        <v>0</v>
      </c>
    </row>
    <row r="403" spans="1:5" x14ac:dyDescent="0.25">
      <c r="A403">
        <v>81001</v>
      </c>
      <c r="B403" s="2" t="s">
        <v>451</v>
      </c>
      <c r="C403" s="2" t="s">
        <v>494</v>
      </c>
      <c r="D403" s="2" t="s">
        <v>495</v>
      </c>
      <c r="E403" s="4">
        <f t="shared" si="6"/>
        <v>0</v>
      </c>
    </row>
    <row r="404" spans="1:5" x14ac:dyDescent="0.25">
      <c r="A404">
        <v>81002</v>
      </c>
      <c r="B404" s="2" t="s">
        <v>451</v>
      </c>
      <c r="C404" s="2" t="s">
        <v>494</v>
      </c>
      <c r="D404" s="2" t="s">
        <v>496</v>
      </c>
      <c r="E404" s="4">
        <f t="shared" si="6"/>
        <v>0</v>
      </c>
    </row>
    <row r="405" spans="1:5" x14ac:dyDescent="0.25">
      <c r="A405">
        <v>81003</v>
      </c>
      <c r="B405" s="2" t="s">
        <v>451</v>
      </c>
      <c r="C405" s="2" t="s">
        <v>494</v>
      </c>
      <c r="D405" s="2" t="s">
        <v>497</v>
      </c>
      <c r="E405" s="4">
        <f t="shared" si="6"/>
        <v>0</v>
      </c>
    </row>
    <row r="406" spans="1:5" x14ac:dyDescent="0.25">
      <c r="A406">
        <v>81004</v>
      </c>
      <c r="B406" s="2" t="s">
        <v>451</v>
      </c>
      <c r="C406" s="2" t="s">
        <v>494</v>
      </c>
      <c r="D406" s="2" t="s">
        <v>498</v>
      </c>
      <c r="E406" s="4">
        <f t="shared" si="6"/>
        <v>0</v>
      </c>
    </row>
    <row r="407" spans="1:5" x14ac:dyDescent="0.25">
      <c r="A407">
        <v>81005</v>
      </c>
      <c r="B407" s="2" t="s">
        <v>451</v>
      </c>
      <c r="C407" s="2" t="s">
        <v>494</v>
      </c>
      <c r="D407" s="2" t="s">
        <v>499</v>
      </c>
      <c r="E407" s="4">
        <f t="shared" si="6"/>
        <v>0</v>
      </c>
    </row>
    <row r="408" spans="1:5" x14ac:dyDescent="0.25">
      <c r="A408">
        <v>81006</v>
      </c>
      <c r="B408" s="2" t="s">
        <v>451</v>
      </c>
      <c r="C408" s="2" t="s">
        <v>494</v>
      </c>
      <c r="D408" s="2" t="s">
        <v>500</v>
      </c>
      <c r="E408" s="4">
        <f t="shared" si="6"/>
        <v>0</v>
      </c>
    </row>
    <row r="409" spans="1:5" x14ac:dyDescent="0.25">
      <c r="A409">
        <v>81007</v>
      </c>
      <c r="B409" s="2" t="s">
        <v>451</v>
      </c>
      <c r="C409" s="2" t="s">
        <v>494</v>
      </c>
      <c r="D409" s="2" t="s">
        <v>501</v>
      </c>
      <c r="E409" s="4">
        <f t="shared" si="6"/>
        <v>0</v>
      </c>
    </row>
    <row r="410" spans="1:5" x14ac:dyDescent="0.25">
      <c r="A410">
        <v>81008</v>
      </c>
      <c r="B410" s="2" t="s">
        <v>451</v>
      </c>
      <c r="C410" s="2" t="s">
        <v>494</v>
      </c>
      <c r="D410" s="2" t="s">
        <v>502</v>
      </c>
      <c r="E410" s="4">
        <f t="shared" si="6"/>
        <v>0</v>
      </c>
    </row>
    <row r="411" spans="1:5" x14ac:dyDescent="0.25">
      <c r="A411">
        <v>81009</v>
      </c>
      <c r="B411" s="2" t="s">
        <v>451</v>
      </c>
      <c r="C411" s="2" t="s">
        <v>494</v>
      </c>
      <c r="D411" s="2" t="s">
        <v>503</v>
      </c>
      <c r="E411" s="4">
        <f t="shared" si="6"/>
        <v>0</v>
      </c>
    </row>
    <row r="412" spans="1:5" x14ac:dyDescent="0.25">
      <c r="A412">
        <v>81101</v>
      </c>
      <c r="B412" s="2" t="s">
        <v>451</v>
      </c>
      <c r="C412" s="2" t="s">
        <v>504</v>
      </c>
      <c r="D412" s="2" t="s">
        <v>505</v>
      </c>
      <c r="E412" s="4">
        <f t="shared" si="6"/>
        <v>0</v>
      </c>
    </row>
    <row r="413" spans="1:5" x14ac:dyDescent="0.25">
      <c r="A413">
        <v>81102</v>
      </c>
      <c r="B413" s="2" t="s">
        <v>451</v>
      </c>
      <c r="C413" s="2" t="s">
        <v>504</v>
      </c>
      <c r="D413" s="2" t="s">
        <v>506</v>
      </c>
      <c r="E413" s="4">
        <f t="shared" si="6"/>
        <v>0</v>
      </c>
    </row>
    <row r="414" spans="1:5" x14ac:dyDescent="0.25">
      <c r="A414">
        <v>81103</v>
      </c>
      <c r="B414" s="2" t="s">
        <v>451</v>
      </c>
      <c r="C414" s="2" t="s">
        <v>504</v>
      </c>
      <c r="D414" s="2" t="s">
        <v>507</v>
      </c>
      <c r="E414" s="4">
        <f t="shared" si="6"/>
        <v>0</v>
      </c>
    </row>
    <row r="415" spans="1:5" x14ac:dyDescent="0.25">
      <c r="A415">
        <v>90101</v>
      </c>
      <c r="B415" s="2" t="s">
        <v>508</v>
      </c>
      <c r="C415" s="2" t="s">
        <v>509</v>
      </c>
      <c r="D415" s="2" t="s">
        <v>510</v>
      </c>
      <c r="E415" s="4">
        <f t="shared" si="6"/>
        <v>0</v>
      </c>
    </row>
    <row r="416" spans="1:5" x14ac:dyDescent="0.25">
      <c r="A416">
        <v>90102</v>
      </c>
      <c r="B416" s="2" t="s">
        <v>508</v>
      </c>
      <c r="C416" s="2" t="s">
        <v>509</v>
      </c>
      <c r="D416" s="2" t="s">
        <v>511</v>
      </c>
      <c r="E416" s="4">
        <f t="shared" si="6"/>
        <v>0</v>
      </c>
    </row>
    <row r="417" spans="1:5" x14ac:dyDescent="0.25">
      <c r="A417">
        <v>90103</v>
      </c>
      <c r="B417" s="2" t="s">
        <v>508</v>
      </c>
      <c r="C417" s="2" t="s">
        <v>509</v>
      </c>
      <c r="D417" s="2" t="s">
        <v>512</v>
      </c>
      <c r="E417" s="4">
        <f t="shared" si="6"/>
        <v>0</v>
      </c>
    </row>
    <row r="418" spans="1:5" x14ac:dyDescent="0.25">
      <c r="A418">
        <v>90104</v>
      </c>
      <c r="B418" s="2" t="s">
        <v>508</v>
      </c>
      <c r="C418" s="2" t="s">
        <v>509</v>
      </c>
      <c r="D418" s="2" t="s">
        <v>513</v>
      </c>
      <c r="E418" s="4">
        <f t="shared" si="6"/>
        <v>0</v>
      </c>
    </row>
    <row r="419" spans="1:5" x14ac:dyDescent="0.25">
      <c r="A419">
        <v>90105</v>
      </c>
      <c r="B419" s="2" t="s">
        <v>508</v>
      </c>
      <c r="C419" s="2" t="s">
        <v>509</v>
      </c>
      <c r="D419" s="2" t="s">
        <v>514</v>
      </c>
      <c r="E419" s="4">
        <f t="shared" si="6"/>
        <v>0</v>
      </c>
    </row>
    <row r="420" spans="1:5" x14ac:dyDescent="0.25">
      <c r="A420">
        <v>90201</v>
      </c>
      <c r="B420" s="2" t="s">
        <v>508</v>
      </c>
      <c r="C420" s="2" t="s">
        <v>515</v>
      </c>
      <c r="D420" s="2" t="s">
        <v>516</v>
      </c>
      <c r="E420" s="4">
        <f t="shared" si="6"/>
        <v>0</v>
      </c>
    </row>
    <row r="421" spans="1:5" x14ac:dyDescent="0.25">
      <c r="A421">
        <v>90202</v>
      </c>
      <c r="B421" s="2" t="s">
        <v>508</v>
      </c>
      <c r="C421" s="2" t="s">
        <v>515</v>
      </c>
      <c r="D421" s="2" t="s">
        <v>517</v>
      </c>
      <c r="E421" s="4">
        <f t="shared" si="6"/>
        <v>0</v>
      </c>
    </row>
    <row r="422" spans="1:5" x14ac:dyDescent="0.25">
      <c r="A422">
        <v>90203</v>
      </c>
      <c r="B422" s="2" t="s">
        <v>508</v>
      </c>
      <c r="C422" s="2" t="s">
        <v>515</v>
      </c>
      <c r="D422" s="2" t="s">
        <v>518</v>
      </c>
      <c r="E422" s="4">
        <f t="shared" si="6"/>
        <v>0</v>
      </c>
    </row>
    <row r="423" spans="1:5" x14ac:dyDescent="0.25">
      <c r="A423">
        <v>90204</v>
      </c>
      <c r="B423" s="2" t="s">
        <v>508</v>
      </c>
      <c r="C423" s="2" t="s">
        <v>515</v>
      </c>
      <c r="D423" s="2" t="s">
        <v>519</v>
      </c>
      <c r="E423" s="4">
        <f t="shared" si="6"/>
        <v>0</v>
      </c>
    </row>
    <row r="424" spans="1:5" x14ac:dyDescent="0.25">
      <c r="A424">
        <v>90205</v>
      </c>
      <c r="B424" s="2" t="s">
        <v>508</v>
      </c>
      <c r="C424" s="2" t="s">
        <v>515</v>
      </c>
      <c r="D424" s="2" t="s">
        <v>137</v>
      </c>
      <c r="E424" s="4">
        <f t="shared" si="6"/>
        <v>0</v>
      </c>
    </row>
    <row r="425" spans="1:5" x14ac:dyDescent="0.25">
      <c r="A425">
        <v>90206</v>
      </c>
      <c r="B425" s="2" t="s">
        <v>508</v>
      </c>
      <c r="C425" s="2" t="s">
        <v>515</v>
      </c>
      <c r="D425" s="2" t="s">
        <v>520</v>
      </c>
      <c r="E425" s="4">
        <f t="shared" si="6"/>
        <v>0</v>
      </c>
    </row>
    <row r="426" spans="1:5" x14ac:dyDescent="0.25">
      <c r="A426">
        <v>90207</v>
      </c>
      <c r="B426" s="2" t="s">
        <v>508</v>
      </c>
      <c r="C426" s="2" t="s">
        <v>515</v>
      </c>
      <c r="D426" s="2" t="s">
        <v>521</v>
      </c>
      <c r="E426" s="4">
        <f t="shared" si="6"/>
        <v>0</v>
      </c>
    </row>
    <row r="427" spans="1:5" x14ac:dyDescent="0.25">
      <c r="A427">
        <v>90208</v>
      </c>
      <c r="B427" s="2" t="s">
        <v>508</v>
      </c>
      <c r="C427" s="2" t="s">
        <v>515</v>
      </c>
      <c r="D427" s="2" t="s">
        <v>522</v>
      </c>
      <c r="E427" s="4">
        <f t="shared" si="6"/>
        <v>0</v>
      </c>
    </row>
    <row r="428" spans="1:5" x14ac:dyDescent="0.25">
      <c r="A428">
        <v>90209</v>
      </c>
      <c r="B428" s="2" t="s">
        <v>508</v>
      </c>
      <c r="C428" s="2" t="s">
        <v>515</v>
      </c>
      <c r="D428" s="2" t="s">
        <v>523</v>
      </c>
      <c r="E428" s="4">
        <f t="shared" si="6"/>
        <v>0</v>
      </c>
    </row>
    <row r="429" spans="1:5" x14ac:dyDescent="0.25">
      <c r="A429">
        <v>90209</v>
      </c>
      <c r="B429" s="2" t="s">
        <v>508</v>
      </c>
      <c r="C429" s="2" t="s">
        <v>515</v>
      </c>
      <c r="D429" s="2" t="s">
        <v>523</v>
      </c>
      <c r="E429" s="4">
        <f t="shared" si="6"/>
        <v>0</v>
      </c>
    </row>
    <row r="430" spans="1:5" x14ac:dyDescent="0.25">
      <c r="A430">
        <v>90210</v>
      </c>
      <c r="B430" s="2" t="s">
        <v>508</v>
      </c>
      <c r="C430" s="2" t="s">
        <v>515</v>
      </c>
      <c r="D430" s="2" t="s">
        <v>524</v>
      </c>
      <c r="E430" s="4">
        <f t="shared" si="6"/>
        <v>0</v>
      </c>
    </row>
    <row r="431" spans="1:5" x14ac:dyDescent="0.25">
      <c r="A431">
        <v>90211</v>
      </c>
      <c r="B431" s="2" t="s">
        <v>508</v>
      </c>
      <c r="C431" s="2" t="s">
        <v>515</v>
      </c>
      <c r="D431" s="2" t="s">
        <v>525</v>
      </c>
      <c r="E431" s="4">
        <f t="shared" si="6"/>
        <v>0</v>
      </c>
    </row>
    <row r="432" spans="1:5" x14ac:dyDescent="0.25">
      <c r="A432">
        <v>90212</v>
      </c>
      <c r="B432" s="2" t="s">
        <v>508</v>
      </c>
      <c r="C432" s="2" t="s">
        <v>515</v>
      </c>
      <c r="D432" s="2" t="s">
        <v>402</v>
      </c>
      <c r="E432" s="4">
        <f t="shared" si="6"/>
        <v>0</v>
      </c>
    </row>
    <row r="433" spans="1:5" x14ac:dyDescent="0.25">
      <c r="A433">
        <v>90301</v>
      </c>
      <c r="B433" s="2" t="s">
        <v>508</v>
      </c>
      <c r="C433" s="2" t="s">
        <v>526</v>
      </c>
      <c r="D433" s="2" t="s">
        <v>527</v>
      </c>
      <c r="E433" s="4">
        <f t="shared" si="6"/>
        <v>0</v>
      </c>
    </row>
    <row r="434" spans="1:5" x14ac:dyDescent="0.25">
      <c r="A434">
        <v>90302</v>
      </c>
      <c r="B434" s="2" t="s">
        <v>508</v>
      </c>
      <c r="C434" s="2" t="s">
        <v>526</v>
      </c>
      <c r="D434" s="2" t="s">
        <v>528</v>
      </c>
      <c r="E434" s="4">
        <f t="shared" si="6"/>
        <v>0</v>
      </c>
    </row>
    <row r="435" spans="1:5" x14ac:dyDescent="0.25">
      <c r="A435">
        <v>90303</v>
      </c>
      <c r="B435" s="2" t="s">
        <v>508</v>
      </c>
      <c r="C435" s="2" t="s">
        <v>526</v>
      </c>
      <c r="D435" s="2" t="s">
        <v>529</v>
      </c>
      <c r="E435" s="4">
        <f t="shared" si="6"/>
        <v>0</v>
      </c>
    </row>
    <row r="436" spans="1:5" x14ac:dyDescent="0.25">
      <c r="A436">
        <v>90304</v>
      </c>
      <c r="B436" s="2" t="s">
        <v>508</v>
      </c>
      <c r="C436" s="2" t="s">
        <v>526</v>
      </c>
      <c r="D436" s="2" t="s">
        <v>530</v>
      </c>
      <c r="E436" s="4">
        <f t="shared" si="6"/>
        <v>0</v>
      </c>
    </row>
    <row r="437" spans="1:5" x14ac:dyDescent="0.25">
      <c r="A437">
        <v>90305</v>
      </c>
      <c r="B437" s="2" t="s">
        <v>508</v>
      </c>
      <c r="C437" s="2" t="s">
        <v>526</v>
      </c>
      <c r="D437" s="2" t="s">
        <v>402</v>
      </c>
      <c r="E437" s="4">
        <f t="shared" si="6"/>
        <v>0</v>
      </c>
    </row>
    <row r="438" spans="1:5" x14ac:dyDescent="0.25">
      <c r="A438">
        <v>90306</v>
      </c>
      <c r="B438" s="2" t="s">
        <v>508</v>
      </c>
      <c r="C438" s="2" t="s">
        <v>526</v>
      </c>
      <c r="D438" s="2" t="s">
        <v>531</v>
      </c>
      <c r="E438" s="4">
        <f t="shared" si="6"/>
        <v>0</v>
      </c>
    </row>
    <row r="439" spans="1:5" x14ac:dyDescent="0.25">
      <c r="A439">
        <v>90307</v>
      </c>
      <c r="B439" s="2" t="s">
        <v>508</v>
      </c>
      <c r="C439" s="2" t="s">
        <v>526</v>
      </c>
      <c r="D439" s="2" t="s">
        <v>532</v>
      </c>
      <c r="E439" s="4">
        <f t="shared" si="6"/>
        <v>0</v>
      </c>
    </row>
    <row r="440" spans="1:5" x14ac:dyDescent="0.25">
      <c r="A440">
        <v>90308</v>
      </c>
      <c r="B440" s="2" t="s">
        <v>508</v>
      </c>
      <c r="C440" s="2" t="s">
        <v>526</v>
      </c>
      <c r="D440" s="2" t="s">
        <v>410</v>
      </c>
      <c r="E440" s="4">
        <f t="shared" si="6"/>
        <v>0</v>
      </c>
    </row>
    <row r="441" spans="1:5" x14ac:dyDescent="0.25">
      <c r="A441">
        <v>90401</v>
      </c>
      <c r="B441" s="2" t="s">
        <v>508</v>
      </c>
      <c r="C441" s="2" t="s">
        <v>425</v>
      </c>
      <c r="D441" s="2" t="s">
        <v>533</v>
      </c>
      <c r="E441" s="4">
        <f t="shared" si="6"/>
        <v>0</v>
      </c>
    </row>
    <row r="442" spans="1:5" x14ac:dyDescent="0.25">
      <c r="A442">
        <v>90402</v>
      </c>
      <c r="B442" s="2" t="s">
        <v>508</v>
      </c>
      <c r="C442" s="2" t="s">
        <v>425</v>
      </c>
      <c r="D442" s="2" t="s">
        <v>534</v>
      </c>
      <c r="E442" s="4">
        <f t="shared" si="6"/>
        <v>0</v>
      </c>
    </row>
    <row r="443" spans="1:5" x14ac:dyDescent="0.25">
      <c r="A443">
        <v>90403</v>
      </c>
      <c r="B443" s="2" t="s">
        <v>508</v>
      </c>
      <c r="C443" s="2" t="s">
        <v>425</v>
      </c>
      <c r="D443" s="2" t="s">
        <v>535</v>
      </c>
      <c r="E443" s="4">
        <f t="shared" si="6"/>
        <v>0</v>
      </c>
    </row>
    <row r="444" spans="1:5" x14ac:dyDescent="0.25">
      <c r="A444">
        <v>90404</v>
      </c>
      <c r="B444" s="2" t="s">
        <v>508</v>
      </c>
      <c r="C444" s="2" t="s">
        <v>425</v>
      </c>
      <c r="D444" s="2" t="s">
        <v>138</v>
      </c>
      <c r="E444" s="4">
        <f t="shared" si="6"/>
        <v>0</v>
      </c>
    </row>
    <row r="445" spans="1:5" x14ac:dyDescent="0.25">
      <c r="A445">
        <v>90405</v>
      </c>
      <c r="B445" s="2" t="s">
        <v>508</v>
      </c>
      <c r="C445" s="2" t="s">
        <v>425</v>
      </c>
      <c r="D445" s="2" t="s">
        <v>536</v>
      </c>
      <c r="E445" s="4">
        <f t="shared" si="6"/>
        <v>0</v>
      </c>
    </row>
    <row r="446" spans="1:5" x14ac:dyDescent="0.25">
      <c r="A446">
        <v>90406</v>
      </c>
      <c r="B446" s="2" t="s">
        <v>508</v>
      </c>
      <c r="C446" s="2" t="s">
        <v>425</v>
      </c>
      <c r="D446" s="2" t="s">
        <v>537</v>
      </c>
      <c r="E446" s="4">
        <f t="shared" si="6"/>
        <v>0</v>
      </c>
    </row>
    <row r="447" spans="1:5" x14ac:dyDescent="0.25">
      <c r="A447">
        <v>90501</v>
      </c>
      <c r="B447" s="2" t="s">
        <v>508</v>
      </c>
      <c r="C447" s="2" t="s">
        <v>426</v>
      </c>
      <c r="D447" s="2" t="s">
        <v>538</v>
      </c>
      <c r="E447" s="4">
        <f t="shared" si="6"/>
        <v>0</v>
      </c>
    </row>
    <row r="448" spans="1:5" x14ac:dyDescent="0.25">
      <c r="A448">
        <v>90502</v>
      </c>
      <c r="B448" s="2" t="s">
        <v>508</v>
      </c>
      <c r="C448" s="2" t="s">
        <v>426</v>
      </c>
      <c r="D448" s="2" t="s">
        <v>539</v>
      </c>
      <c r="E448" s="4">
        <f t="shared" si="6"/>
        <v>0</v>
      </c>
    </row>
    <row r="449" spans="1:5" x14ac:dyDescent="0.25">
      <c r="A449">
        <v>90503</v>
      </c>
      <c r="B449" s="2" t="s">
        <v>508</v>
      </c>
      <c r="C449" s="2" t="s">
        <v>426</v>
      </c>
      <c r="D449" s="2" t="s">
        <v>422</v>
      </c>
      <c r="E449" s="4">
        <f t="shared" si="6"/>
        <v>0</v>
      </c>
    </row>
    <row r="450" spans="1:5" x14ac:dyDescent="0.25">
      <c r="A450">
        <v>90504</v>
      </c>
      <c r="B450" s="2" t="s">
        <v>508</v>
      </c>
      <c r="C450" s="2" t="s">
        <v>426</v>
      </c>
      <c r="D450" s="2" t="s">
        <v>540</v>
      </c>
      <c r="E450" s="4">
        <f t="shared" si="6"/>
        <v>0</v>
      </c>
    </row>
    <row r="451" spans="1:5" x14ac:dyDescent="0.25">
      <c r="A451">
        <v>90505</v>
      </c>
      <c r="B451" s="2" t="s">
        <v>508</v>
      </c>
      <c r="C451" s="2" t="s">
        <v>426</v>
      </c>
      <c r="D451" s="2" t="s">
        <v>541</v>
      </c>
      <c r="E451" s="4">
        <f t="shared" si="6"/>
        <v>0</v>
      </c>
    </row>
    <row r="452" spans="1:5" x14ac:dyDescent="0.25">
      <c r="A452">
        <v>90506</v>
      </c>
      <c r="B452" s="2" t="s">
        <v>508</v>
      </c>
      <c r="C452" s="2" t="s">
        <v>426</v>
      </c>
      <c r="D452" s="2" t="s">
        <v>371</v>
      </c>
      <c r="E452" s="4">
        <f t="shared" si="6"/>
        <v>0</v>
      </c>
    </row>
    <row r="453" spans="1:5" x14ac:dyDescent="0.25">
      <c r="A453">
        <v>90507</v>
      </c>
      <c r="B453" s="2" t="s">
        <v>508</v>
      </c>
      <c r="C453" s="2" t="s">
        <v>426</v>
      </c>
      <c r="D453" s="2" t="s">
        <v>542</v>
      </c>
      <c r="E453" s="4">
        <f t="shared" ref="E453:E516" si="7">SUM(F453:AEZ453)</f>
        <v>0</v>
      </c>
    </row>
    <row r="454" spans="1:5" x14ac:dyDescent="0.25">
      <c r="A454">
        <v>90508</v>
      </c>
      <c r="B454" s="2" t="s">
        <v>508</v>
      </c>
      <c r="C454" s="2" t="s">
        <v>426</v>
      </c>
      <c r="D454" s="2" t="s">
        <v>543</v>
      </c>
      <c r="E454" s="4">
        <f t="shared" si="7"/>
        <v>0</v>
      </c>
    </row>
    <row r="455" spans="1:5" x14ac:dyDescent="0.25">
      <c r="A455">
        <v>90509</v>
      </c>
      <c r="B455" s="2" t="s">
        <v>508</v>
      </c>
      <c r="C455" s="2" t="s">
        <v>426</v>
      </c>
      <c r="D455" s="2" t="s">
        <v>544</v>
      </c>
      <c r="E455" s="4">
        <f t="shared" si="7"/>
        <v>0</v>
      </c>
    </row>
    <row r="456" spans="1:5" x14ac:dyDescent="0.25">
      <c r="A456">
        <v>90510</v>
      </c>
      <c r="B456" s="2" t="s">
        <v>508</v>
      </c>
      <c r="C456" s="2" t="s">
        <v>426</v>
      </c>
      <c r="D456" s="2" t="s">
        <v>545</v>
      </c>
      <c r="E456" s="4">
        <f t="shared" si="7"/>
        <v>0</v>
      </c>
    </row>
    <row r="457" spans="1:5" x14ac:dyDescent="0.25">
      <c r="A457">
        <v>90511</v>
      </c>
      <c r="B457" s="2" t="s">
        <v>508</v>
      </c>
      <c r="C457" s="2" t="s">
        <v>426</v>
      </c>
      <c r="D457" s="2" t="s">
        <v>546</v>
      </c>
      <c r="E457" s="4">
        <f t="shared" si="7"/>
        <v>0</v>
      </c>
    </row>
    <row r="458" spans="1:5" x14ac:dyDescent="0.25">
      <c r="A458">
        <v>90512</v>
      </c>
      <c r="B458" s="2" t="s">
        <v>508</v>
      </c>
      <c r="C458" s="2" t="s">
        <v>426</v>
      </c>
      <c r="D458" s="2" t="s">
        <v>547</v>
      </c>
      <c r="E458" s="4">
        <f t="shared" si="7"/>
        <v>0</v>
      </c>
    </row>
    <row r="459" spans="1:5" x14ac:dyDescent="0.25">
      <c r="A459">
        <v>90601</v>
      </c>
      <c r="B459" s="2" t="s">
        <v>508</v>
      </c>
      <c r="C459" s="2" t="s">
        <v>548</v>
      </c>
      <c r="D459" s="2" t="s">
        <v>549</v>
      </c>
      <c r="E459" s="4">
        <f t="shared" si="7"/>
        <v>0</v>
      </c>
    </row>
    <row r="460" spans="1:5" x14ac:dyDescent="0.25">
      <c r="A460">
        <v>90602</v>
      </c>
      <c r="B460" s="2" t="s">
        <v>508</v>
      </c>
      <c r="C460" s="2" t="s">
        <v>548</v>
      </c>
      <c r="D460" s="2" t="s">
        <v>550</v>
      </c>
      <c r="E460" s="4">
        <f t="shared" si="7"/>
        <v>0</v>
      </c>
    </row>
    <row r="461" spans="1:5" x14ac:dyDescent="0.25">
      <c r="A461">
        <v>90603</v>
      </c>
      <c r="B461" s="2" t="s">
        <v>508</v>
      </c>
      <c r="C461" s="2" t="s">
        <v>548</v>
      </c>
      <c r="D461" s="2" t="s">
        <v>551</v>
      </c>
      <c r="E461" s="4">
        <f t="shared" si="7"/>
        <v>0</v>
      </c>
    </row>
    <row r="462" spans="1:5" x14ac:dyDescent="0.25">
      <c r="A462">
        <v>90604</v>
      </c>
      <c r="B462" s="2" t="s">
        <v>508</v>
      </c>
      <c r="C462" s="2" t="s">
        <v>548</v>
      </c>
      <c r="D462" s="2" t="s">
        <v>333</v>
      </c>
      <c r="E462" s="4">
        <f t="shared" si="7"/>
        <v>0</v>
      </c>
    </row>
    <row r="463" spans="1:5" x14ac:dyDescent="0.25">
      <c r="A463">
        <v>90605</v>
      </c>
      <c r="B463" s="2" t="s">
        <v>508</v>
      </c>
      <c r="C463" s="2" t="s">
        <v>548</v>
      </c>
      <c r="D463" s="2" t="s">
        <v>552</v>
      </c>
      <c r="E463" s="4">
        <f t="shared" si="7"/>
        <v>0</v>
      </c>
    </row>
    <row r="464" spans="1:5" x14ac:dyDescent="0.25">
      <c r="A464">
        <v>90606</v>
      </c>
      <c r="B464" s="2" t="s">
        <v>508</v>
      </c>
      <c r="C464" s="2" t="s">
        <v>548</v>
      </c>
      <c r="D464" s="2" t="s">
        <v>553</v>
      </c>
      <c r="E464" s="4">
        <f t="shared" si="7"/>
        <v>0</v>
      </c>
    </row>
    <row r="465" spans="1:5" x14ac:dyDescent="0.25">
      <c r="A465">
        <v>90607</v>
      </c>
      <c r="B465" s="2" t="s">
        <v>508</v>
      </c>
      <c r="C465" s="2" t="s">
        <v>548</v>
      </c>
      <c r="D465" s="2" t="s">
        <v>554</v>
      </c>
      <c r="E465" s="4">
        <f t="shared" si="7"/>
        <v>0</v>
      </c>
    </row>
    <row r="466" spans="1:5" x14ac:dyDescent="0.25">
      <c r="A466">
        <v>90608</v>
      </c>
      <c r="B466" s="2" t="s">
        <v>508</v>
      </c>
      <c r="C466" s="2" t="s">
        <v>548</v>
      </c>
      <c r="D466" s="2" t="s">
        <v>555</v>
      </c>
      <c r="E466" s="4">
        <f t="shared" si="7"/>
        <v>0</v>
      </c>
    </row>
    <row r="467" spans="1:5" x14ac:dyDescent="0.25">
      <c r="A467">
        <v>90701</v>
      </c>
      <c r="B467" s="2" t="s">
        <v>508</v>
      </c>
      <c r="C467" s="2" t="s">
        <v>556</v>
      </c>
      <c r="D467" s="2" t="s">
        <v>557</v>
      </c>
      <c r="E467" s="4">
        <f t="shared" si="7"/>
        <v>0</v>
      </c>
    </row>
    <row r="468" spans="1:5" x14ac:dyDescent="0.25">
      <c r="A468">
        <v>90702</v>
      </c>
      <c r="B468" s="2" t="s">
        <v>508</v>
      </c>
      <c r="C468" s="2" t="s">
        <v>556</v>
      </c>
      <c r="D468" s="2" t="s">
        <v>146</v>
      </c>
      <c r="E468" s="4">
        <f t="shared" si="7"/>
        <v>0</v>
      </c>
    </row>
    <row r="469" spans="1:5" x14ac:dyDescent="0.25">
      <c r="A469">
        <v>90703</v>
      </c>
      <c r="B469" s="2" t="s">
        <v>508</v>
      </c>
      <c r="C469" s="2" t="s">
        <v>556</v>
      </c>
      <c r="D469" s="2" t="s">
        <v>354</v>
      </c>
      <c r="E469" s="4">
        <f t="shared" si="7"/>
        <v>0</v>
      </c>
    </row>
    <row r="470" spans="1:5" x14ac:dyDescent="0.25">
      <c r="A470">
        <v>90704</v>
      </c>
      <c r="B470" s="2" t="s">
        <v>508</v>
      </c>
      <c r="C470" s="2" t="s">
        <v>556</v>
      </c>
      <c r="D470" s="2" t="s">
        <v>558</v>
      </c>
      <c r="E470" s="4">
        <f t="shared" si="7"/>
        <v>0</v>
      </c>
    </row>
    <row r="471" spans="1:5" x14ac:dyDescent="0.25">
      <c r="A471">
        <v>90705</v>
      </c>
      <c r="B471" s="2" t="s">
        <v>508</v>
      </c>
      <c r="C471" s="2" t="s">
        <v>556</v>
      </c>
      <c r="D471" s="2" t="s">
        <v>559</v>
      </c>
      <c r="E471" s="4">
        <f t="shared" si="7"/>
        <v>0</v>
      </c>
    </row>
    <row r="472" spans="1:5" x14ac:dyDescent="0.25">
      <c r="A472">
        <v>90801</v>
      </c>
      <c r="B472" s="2" t="s">
        <v>508</v>
      </c>
      <c r="C472" s="2" t="s">
        <v>479</v>
      </c>
      <c r="D472" s="2" t="s">
        <v>560</v>
      </c>
      <c r="E472" s="4">
        <f t="shared" si="7"/>
        <v>0</v>
      </c>
    </row>
    <row r="473" spans="1:5" x14ac:dyDescent="0.25">
      <c r="A473">
        <v>90802</v>
      </c>
      <c r="B473" s="2" t="s">
        <v>508</v>
      </c>
      <c r="C473" s="2" t="s">
        <v>479</v>
      </c>
      <c r="D473" s="2" t="s">
        <v>561</v>
      </c>
      <c r="E473" s="4">
        <f t="shared" si="7"/>
        <v>0</v>
      </c>
    </row>
    <row r="474" spans="1:5" x14ac:dyDescent="0.25">
      <c r="A474">
        <v>90803</v>
      </c>
      <c r="B474" s="2" t="s">
        <v>508</v>
      </c>
      <c r="C474" s="2" t="s">
        <v>479</v>
      </c>
      <c r="D474" s="2" t="s">
        <v>562</v>
      </c>
      <c r="E474" s="4">
        <f t="shared" si="7"/>
        <v>0</v>
      </c>
    </row>
    <row r="475" spans="1:5" x14ac:dyDescent="0.25">
      <c r="A475">
        <v>90804</v>
      </c>
      <c r="B475" s="2" t="s">
        <v>508</v>
      </c>
      <c r="C475" s="2" t="s">
        <v>479</v>
      </c>
      <c r="D475" s="2" t="s">
        <v>563</v>
      </c>
      <c r="E475" s="4">
        <f t="shared" si="7"/>
        <v>0</v>
      </c>
    </row>
    <row r="476" spans="1:5" x14ac:dyDescent="0.25">
      <c r="A476">
        <v>90805</v>
      </c>
      <c r="B476" s="2" t="s">
        <v>508</v>
      </c>
      <c r="C476" s="2" t="s">
        <v>479</v>
      </c>
      <c r="D476" s="2" t="s">
        <v>176</v>
      </c>
      <c r="E476" s="4">
        <f t="shared" si="7"/>
        <v>0</v>
      </c>
    </row>
    <row r="477" spans="1:5" x14ac:dyDescent="0.25">
      <c r="A477">
        <v>90806</v>
      </c>
      <c r="B477" s="2" t="s">
        <v>508</v>
      </c>
      <c r="C477" s="2" t="s">
        <v>479</v>
      </c>
      <c r="D477" s="2" t="s">
        <v>402</v>
      </c>
      <c r="E477" s="4">
        <f t="shared" si="7"/>
        <v>0</v>
      </c>
    </row>
    <row r="478" spans="1:5" x14ac:dyDescent="0.25">
      <c r="A478">
        <v>90901</v>
      </c>
      <c r="B478" s="2" t="s">
        <v>508</v>
      </c>
      <c r="C478" s="2" t="s">
        <v>564</v>
      </c>
      <c r="D478" s="2" t="s">
        <v>565</v>
      </c>
      <c r="E478" s="4">
        <f t="shared" si="7"/>
        <v>0</v>
      </c>
    </row>
    <row r="479" spans="1:5" x14ac:dyDescent="0.25">
      <c r="A479">
        <v>90902</v>
      </c>
      <c r="B479" s="2" t="s">
        <v>508</v>
      </c>
      <c r="C479" s="2" t="s">
        <v>564</v>
      </c>
      <c r="D479" s="2" t="s">
        <v>566</v>
      </c>
      <c r="E479" s="4">
        <f t="shared" si="7"/>
        <v>0</v>
      </c>
    </row>
    <row r="480" spans="1:5" x14ac:dyDescent="0.25">
      <c r="A480">
        <v>90903</v>
      </c>
      <c r="B480" s="2" t="s">
        <v>508</v>
      </c>
      <c r="C480" s="2" t="s">
        <v>564</v>
      </c>
      <c r="D480" s="2" t="s">
        <v>567</v>
      </c>
      <c r="E480" s="4">
        <f t="shared" si="7"/>
        <v>0</v>
      </c>
    </row>
    <row r="481" spans="1:5" x14ac:dyDescent="0.25">
      <c r="A481">
        <v>90904</v>
      </c>
      <c r="B481" s="2" t="s">
        <v>508</v>
      </c>
      <c r="C481" s="2" t="s">
        <v>564</v>
      </c>
      <c r="D481" s="2" t="s">
        <v>568</v>
      </c>
      <c r="E481" s="4">
        <f t="shared" si="7"/>
        <v>0</v>
      </c>
    </row>
    <row r="482" spans="1:5" x14ac:dyDescent="0.25">
      <c r="A482">
        <v>90905</v>
      </c>
      <c r="B482" s="2" t="s">
        <v>508</v>
      </c>
      <c r="C482" s="2" t="s">
        <v>564</v>
      </c>
      <c r="D482" s="2" t="s">
        <v>569</v>
      </c>
      <c r="E482" s="4">
        <f t="shared" si="7"/>
        <v>0</v>
      </c>
    </row>
    <row r="483" spans="1:5" x14ac:dyDescent="0.25">
      <c r="A483">
        <v>90906</v>
      </c>
      <c r="B483" s="2" t="s">
        <v>508</v>
      </c>
      <c r="C483" s="2" t="s">
        <v>564</v>
      </c>
      <c r="D483" s="2" t="s">
        <v>570</v>
      </c>
      <c r="E483" s="4">
        <f t="shared" si="7"/>
        <v>0</v>
      </c>
    </row>
    <row r="484" spans="1:5" x14ac:dyDescent="0.25">
      <c r="A484">
        <v>90907</v>
      </c>
      <c r="B484" s="2" t="s">
        <v>508</v>
      </c>
      <c r="C484" s="2" t="s">
        <v>564</v>
      </c>
      <c r="D484" s="2" t="s">
        <v>571</v>
      </c>
      <c r="E484" s="4">
        <f t="shared" si="7"/>
        <v>0</v>
      </c>
    </row>
    <row r="485" spans="1:5" x14ac:dyDescent="0.25">
      <c r="A485">
        <v>90908</v>
      </c>
      <c r="B485" s="2" t="s">
        <v>508</v>
      </c>
      <c r="C485" s="2" t="s">
        <v>564</v>
      </c>
      <c r="D485" s="2" t="s">
        <v>572</v>
      </c>
      <c r="E485" s="4">
        <f t="shared" si="7"/>
        <v>0</v>
      </c>
    </row>
    <row r="486" spans="1:5" x14ac:dyDescent="0.25">
      <c r="A486">
        <v>91001</v>
      </c>
      <c r="B486" s="2" t="s">
        <v>508</v>
      </c>
      <c r="C486" s="2" t="s">
        <v>573</v>
      </c>
      <c r="D486" s="2" t="s">
        <v>574</v>
      </c>
      <c r="E486" s="4">
        <f t="shared" si="7"/>
        <v>0</v>
      </c>
    </row>
    <row r="487" spans="1:5" x14ac:dyDescent="0.25">
      <c r="A487">
        <v>91002</v>
      </c>
      <c r="B487" s="2" t="s">
        <v>508</v>
      </c>
      <c r="C487" s="2" t="s">
        <v>573</v>
      </c>
      <c r="D487" s="2" t="s">
        <v>408</v>
      </c>
      <c r="E487" s="4">
        <f t="shared" si="7"/>
        <v>0</v>
      </c>
    </row>
    <row r="488" spans="1:5" x14ac:dyDescent="0.25">
      <c r="A488">
        <v>91003</v>
      </c>
      <c r="B488" s="2" t="s">
        <v>508</v>
      </c>
      <c r="C488" s="2" t="s">
        <v>573</v>
      </c>
      <c r="D488" s="2" t="s">
        <v>575</v>
      </c>
      <c r="E488" s="4">
        <f t="shared" si="7"/>
        <v>0</v>
      </c>
    </row>
    <row r="489" spans="1:5" x14ac:dyDescent="0.25">
      <c r="A489">
        <v>91004</v>
      </c>
      <c r="B489" s="2" t="s">
        <v>508</v>
      </c>
      <c r="C489" s="2" t="s">
        <v>573</v>
      </c>
      <c r="D489" s="2" t="s">
        <v>576</v>
      </c>
      <c r="E489" s="4">
        <f t="shared" si="7"/>
        <v>0</v>
      </c>
    </row>
    <row r="490" spans="1:5" x14ac:dyDescent="0.25">
      <c r="A490">
        <v>91005</v>
      </c>
      <c r="B490" s="2" t="s">
        <v>508</v>
      </c>
      <c r="C490" s="2" t="s">
        <v>573</v>
      </c>
      <c r="D490" s="2" t="s">
        <v>577</v>
      </c>
      <c r="E490" s="4">
        <f t="shared" si="7"/>
        <v>0</v>
      </c>
    </row>
    <row r="491" spans="1:5" x14ac:dyDescent="0.25">
      <c r="A491">
        <v>91006</v>
      </c>
      <c r="B491" s="2" t="s">
        <v>508</v>
      </c>
      <c r="C491" s="2" t="s">
        <v>573</v>
      </c>
      <c r="D491" s="2" t="s">
        <v>578</v>
      </c>
      <c r="E491" s="4">
        <f t="shared" si="7"/>
        <v>0</v>
      </c>
    </row>
    <row r="492" spans="1:5" x14ac:dyDescent="0.25">
      <c r="A492">
        <v>91007</v>
      </c>
      <c r="B492" s="2" t="s">
        <v>508</v>
      </c>
      <c r="C492" s="2" t="s">
        <v>573</v>
      </c>
      <c r="D492" s="2" t="s">
        <v>579</v>
      </c>
      <c r="E492" s="4">
        <f t="shared" si="7"/>
        <v>0</v>
      </c>
    </row>
    <row r="493" spans="1:5" x14ac:dyDescent="0.25">
      <c r="A493">
        <v>91008</v>
      </c>
      <c r="B493" s="2" t="s">
        <v>508</v>
      </c>
      <c r="C493" s="2" t="s">
        <v>573</v>
      </c>
      <c r="D493" s="2" t="s">
        <v>263</v>
      </c>
      <c r="E493" s="4">
        <f t="shared" si="7"/>
        <v>0</v>
      </c>
    </row>
    <row r="494" spans="1:5" x14ac:dyDescent="0.25">
      <c r="A494">
        <v>91009</v>
      </c>
      <c r="B494" s="2" t="s">
        <v>508</v>
      </c>
      <c r="C494" s="2" t="s">
        <v>573</v>
      </c>
      <c r="D494" s="2" t="s">
        <v>580</v>
      </c>
      <c r="E494" s="4">
        <f t="shared" si="7"/>
        <v>0</v>
      </c>
    </row>
    <row r="495" spans="1:5" x14ac:dyDescent="0.25">
      <c r="A495">
        <v>91010</v>
      </c>
      <c r="B495" s="2" t="s">
        <v>508</v>
      </c>
      <c r="C495" s="2" t="s">
        <v>573</v>
      </c>
      <c r="D495" s="2" t="s">
        <v>581</v>
      </c>
      <c r="E495" s="4">
        <f t="shared" si="7"/>
        <v>0</v>
      </c>
    </row>
    <row r="496" spans="1:5" x14ac:dyDescent="0.25">
      <c r="A496">
        <v>91011</v>
      </c>
      <c r="B496" s="2" t="s">
        <v>508</v>
      </c>
      <c r="C496" s="2" t="s">
        <v>573</v>
      </c>
      <c r="D496" s="2" t="s">
        <v>545</v>
      </c>
      <c r="E496" s="4">
        <f t="shared" si="7"/>
        <v>0</v>
      </c>
    </row>
    <row r="497" spans="1:5" x14ac:dyDescent="0.25">
      <c r="A497">
        <v>91012</v>
      </c>
      <c r="B497" s="2" t="s">
        <v>508</v>
      </c>
      <c r="C497" s="2" t="s">
        <v>573</v>
      </c>
      <c r="D497" s="2" t="s">
        <v>582</v>
      </c>
      <c r="E497" s="4">
        <f t="shared" si="7"/>
        <v>0</v>
      </c>
    </row>
    <row r="498" spans="1:5" x14ac:dyDescent="0.25">
      <c r="A498">
        <v>91101</v>
      </c>
      <c r="B498" s="2" t="s">
        <v>508</v>
      </c>
      <c r="C498" s="2" t="s">
        <v>583</v>
      </c>
      <c r="D498" s="2" t="s">
        <v>584</v>
      </c>
      <c r="E498" s="4">
        <f t="shared" si="7"/>
        <v>0</v>
      </c>
    </row>
    <row r="499" spans="1:5" x14ac:dyDescent="0.25">
      <c r="A499">
        <v>91102</v>
      </c>
      <c r="B499" s="2" t="s">
        <v>508</v>
      </c>
      <c r="C499" s="2" t="s">
        <v>583</v>
      </c>
      <c r="D499" s="2" t="s">
        <v>420</v>
      </c>
      <c r="E499" s="4">
        <f t="shared" si="7"/>
        <v>0</v>
      </c>
    </row>
    <row r="500" spans="1:5" x14ac:dyDescent="0.25">
      <c r="A500">
        <v>91103</v>
      </c>
      <c r="B500" s="2" t="s">
        <v>508</v>
      </c>
      <c r="C500" s="2" t="s">
        <v>583</v>
      </c>
      <c r="D500" s="2" t="s">
        <v>585</v>
      </c>
      <c r="E500" s="4">
        <f t="shared" si="7"/>
        <v>0</v>
      </c>
    </row>
    <row r="501" spans="1:5" x14ac:dyDescent="0.25">
      <c r="A501">
        <v>91104</v>
      </c>
      <c r="B501" s="2" t="s">
        <v>508</v>
      </c>
      <c r="C501" s="2" t="s">
        <v>583</v>
      </c>
      <c r="D501" s="2" t="s">
        <v>586</v>
      </c>
      <c r="E501" s="4">
        <f t="shared" si="7"/>
        <v>0</v>
      </c>
    </row>
    <row r="502" spans="1:5" x14ac:dyDescent="0.25">
      <c r="A502">
        <v>91105</v>
      </c>
      <c r="B502" s="2" t="s">
        <v>508</v>
      </c>
      <c r="C502" s="2" t="s">
        <v>583</v>
      </c>
      <c r="D502" s="2" t="s">
        <v>587</v>
      </c>
      <c r="E502" s="4">
        <f t="shared" si="7"/>
        <v>0</v>
      </c>
    </row>
    <row r="503" spans="1:5" x14ac:dyDescent="0.25">
      <c r="A503">
        <v>91106</v>
      </c>
      <c r="B503" s="2" t="s">
        <v>508</v>
      </c>
      <c r="C503" s="2" t="s">
        <v>583</v>
      </c>
      <c r="D503" s="2" t="s">
        <v>210</v>
      </c>
      <c r="E503" s="4">
        <f t="shared" si="7"/>
        <v>0</v>
      </c>
    </row>
    <row r="504" spans="1:5" x14ac:dyDescent="0.25">
      <c r="A504">
        <v>91107</v>
      </c>
      <c r="B504" s="2" t="s">
        <v>508</v>
      </c>
      <c r="C504" s="2" t="s">
        <v>583</v>
      </c>
      <c r="D504" s="2" t="s">
        <v>588</v>
      </c>
      <c r="E504" s="4">
        <f t="shared" si="7"/>
        <v>0</v>
      </c>
    </row>
    <row r="505" spans="1:5" x14ac:dyDescent="0.25">
      <c r="A505">
        <v>91108</v>
      </c>
      <c r="B505" s="2" t="s">
        <v>508</v>
      </c>
      <c r="C505" s="2" t="s">
        <v>583</v>
      </c>
      <c r="D505" s="2" t="s">
        <v>589</v>
      </c>
      <c r="E505" s="4">
        <f t="shared" si="7"/>
        <v>0</v>
      </c>
    </row>
    <row r="506" spans="1:5" x14ac:dyDescent="0.25">
      <c r="A506">
        <v>91109</v>
      </c>
      <c r="B506" s="2" t="s">
        <v>508</v>
      </c>
      <c r="C506" s="2" t="s">
        <v>583</v>
      </c>
      <c r="D506" s="2" t="s">
        <v>160</v>
      </c>
      <c r="E506" s="4">
        <f t="shared" si="7"/>
        <v>0</v>
      </c>
    </row>
    <row r="507" spans="1:5" x14ac:dyDescent="0.25">
      <c r="A507">
        <v>91110</v>
      </c>
      <c r="B507" s="2" t="s">
        <v>508</v>
      </c>
      <c r="C507" s="2" t="s">
        <v>583</v>
      </c>
      <c r="D507" s="2" t="s">
        <v>590</v>
      </c>
      <c r="E507" s="4">
        <f t="shared" si="7"/>
        <v>0</v>
      </c>
    </row>
    <row r="508" spans="1:5" ht="24" x14ac:dyDescent="0.25">
      <c r="A508">
        <v>91201</v>
      </c>
      <c r="B508" s="2" t="s">
        <v>508</v>
      </c>
      <c r="C508" s="2" t="s">
        <v>591</v>
      </c>
      <c r="D508" s="2" t="s">
        <v>592</v>
      </c>
      <c r="E508" s="4">
        <f t="shared" si="7"/>
        <v>0</v>
      </c>
    </row>
    <row r="509" spans="1:5" x14ac:dyDescent="0.25">
      <c r="A509">
        <v>91202</v>
      </c>
      <c r="B509" s="2" t="s">
        <v>508</v>
      </c>
      <c r="C509" s="2" t="s">
        <v>591</v>
      </c>
      <c r="D509" s="2" t="s">
        <v>593</v>
      </c>
      <c r="E509" s="4">
        <f t="shared" si="7"/>
        <v>0</v>
      </c>
    </row>
    <row r="510" spans="1:5" x14ac:dyDescent="0.25">
      <c r="A510">
        <v>91203</v>
      </c>
      <c r="B510" s="2" t="s">
        <v>508</v>
      </c>
      <c r="C510" s="2" t="s">
        <v>591</v>
      </c>
      <c r="D510" s="2" t="s">
        <v>444</v>
      </c>
      <c r="E510" s="4">
        <f t="shared" si="7"/>
        <v>0</v>
      </c>
    </row>
    <row r="511" spans="1:5" x14ac:dyDescent="0.25">
      <c r="A511">
        <v>91204</v>
      </c>
      <c r="B511" s="2" t="s">
        <v>508</v>
      </c>
      <c r="C511" s="2" t="s">
        <v>591</v>
      </c>
      <c r="D511" s="2" t="s">
        <v>594</v>
      </c>
      <c r="E511" s="4">
        <f t="shared" si="7"/>
        <v>0</v>
      </c>
    </row>
    <row r="512" spans="1:5" x14ac:dyDescent="0.25">
      <c r="A512">
        <v>91205</v>
      </c>
      <c r="B512" s="2" t="s">
        <v>508</v>
      </c>
      <c r="C512" s="2" t="s">
        <v>591</v>
      </c>
      <c r="D512" s="2" t="s">
        <v>595</v>
      </c>
      <c r="E512" s="4">
        <f t="shared" si="7"/>
        <v>0</v>
      </c>
    </row>
    <row r="513" spans="1:5" ht="24" x14ac:dyDescent="0.25">
      <c r="A513">
        <v>100101</v>
      </c>
      <c r="B513" s="2" t="s">
        <v>596</v>
      </c>
      <c r="C513" s="2" t="s">
        <v>596</v>
      </c>
      <c r="D513" s="2" t="s">
        <v>597</v>
      </c>
      <c r="E513" s="4">
        <f t="shared" si="7"/>
        <v>0</v>
      </c>
    </row>
    <row r="514" spans="1:5" ht="24" x14ac:dyDescent="0.25">
      <c r="A514">
        <v>100102</v>
      </c>
      <c r="B514" s="2" t="s">
        <v>596</v>
      </c>
      <c r="C514" s="2" t="s">
        <v>596</v>
      </c>
      <c r="D514" s="2" t="s">
        <v>598</v>
      </c>
      <c r="E514" s="4">
        <f t="shared" si="7"/>
        <v>0</v>
      </c>
    </row>
    <row r="515" spans="1:5" ht="24" x14ac:dyDescent="0.25">
      <c r="A515">
        <v>100103</v>
      </c>
      <c r="B515" s="2" t="s">
        <v>596</v>
      </c>
      <c r="C515" s="2" t="s">
        <v>596</v>
      </c>
      <c r="D515" s="2" t="s">
        <v>599</v>
      </c>
      <c r="E515" s="4">
        <f t="shared" si="7"/>
        <v>0</v>
      </c>
    </row>
    <row r="516" spans="1:5" ht="24" x14ac:dyDescent="0.25">
      <c r="A516">
        <v>100104</v>
      </c>
      <c r="B516" s="2" t="s">
        <v>596</v>
      </c>
      <c r="C516" s="2" t="s">
        <v>596</v>
      </c>
      <c r="D516" s="2" t="s">
        <v>600</v>
      </c>
      <c r="E516" s="4">
        <f t="shared" si="7"/>
        <v>0</v>
      </c>
    </row>
    <row r="517" spans="1:5" ht="24" x14ac:dyDescent="0.25">
      <c r="A517">
        <v>110101</v>
      </c>
      <c r="B517" s="2" t="s">
        <v>601</v>
      </c>
      <c r="C517" s="2" t="s">
        <v>602</v>
      </c>
      <c r="D517" s="2" t="s">
        <v>603</v>
      </c>
      <c r="E517" s="4">
        <f t="shared" ref="E517:E580" si="8">SUM(F517:AEZ517)</f>
        <v>0</v>
      </c>
    </row>
    <row r="518" spans="1:5" ht="24" x14ac:dyDescent="0.25">
      <c r="A518">
        <v>110102</v>
      </c>
      <c r="B518" s="2" t="s">
        <v>601</v>
      </c>
      <c r="C518" s="2" t="s">
        <v>602</v>
      </c>
      <c r="D518" s="2" t="s">
        <v>604</v>
      </c>
      <c r="E518" s="4">
        <f t="shared" si="8"/>
        <v>0</v>
      </c>
    </row>
    <row r="519" spans="1:5" ht="24" x14ac:dyDescent="0.25">
      <c r="A519">
        <v>110103</v>
      </c>
      <c r="B519" s="2" t="s">
        <v>601</v>
      </c>
      <c r="C519" s="2" t="s">
        <v>602</v>
      </c>
      <c r="D519" s="2" t="s">
        <v>605</v>
      </c>
      <c r="E519" s="4">
        <f t="shared" si="8"/>
        <v>0</v>
      </c>
    </row>
    <row r="520" spans="1:5" ht="24" x14ac:dyDescent="0.25">
      <c r="A520">
        <v>110201</v>
      </c>
      <c r="B520" s="2" t="s">
        <v>601</v>
      </c>
      <c r="C520" s="2" t="s">
        <v>307</v>
      </c>
      <c r="D520" s="2" t="s">
        <v>606</v>
      </c>
      <c r="E520" s="4">
        <f t="shared" si="8"/>
        <v>0</v>
      </c>
    </row>
    <row r="521" spans="1:5" ht="24" x14ac:dyDescent="0.25">
      <c r="A521">
        <v>110202</v>
      </c>
      <c r="B521" s="2" t="s">
        <v>601</v>
      </c>
      <c r="C521" s="2" t="s">
        <v>307</v>
      </c>
      <c r="D521" s="2" t="s">
        <v>607</v>
      </c>
      <c r="E521" s="4">
        <f t="shared" si="8"/>
        <v>0</v>
      </c>
    </row>
    <row r="522" spans="1:5" ht="24" x14ac:dyDescent="0.25">
      <c r="A522">
        <v>120101</v>
      </c>
      <c r="B522" s="2" t="s">
        <v>608</v>
      </c>
      <c r="C522" s="2" t="s">
        <v>609</v>
      </c>
      <c r="D522" s="2" t="s">
        <v>610</v>
      </c>
      <c r="E522" s="4">
        <f t="shared" si="8"/>
        <v>0</v>
      </c>
    </row>
    <row r="523" spans="1:5" ht="24" x14ac:dyDescent="0.25">
      <c r="A523">
        <v>120102</v>
      </c>
      <c r="B523" s="2" t="s">
        <v>608</v>
      </c>
      <c r="C523" s="2" t="s">
        <v>609</v>
      </c>
      <c r="D523" s="2" t="s">
        <v>611</v>
      </c>
      <c r="E523" s="4">
        <f t="shared" si="8"/>
        <v>0</v>
      </c>
    </row>
    <row r="524" spans="1:5" ht="24" x14ac:dyDescent="0.25">
      <c r="A524">
        <v>120103</v>
      </c>
      <c r="B524" s="2" t="s">
        <v>608</v>
      </c>
      <c r="C524" s="2" t="s">
        <v>609</v>
      </c>
      <c r="D524" s="2" t="s">
        <v>612</v>
      </c>
      <c r="E524" s="4">
        <f t="shared" si="8"/>
        <v>0</v>
      </c>
    </row>
    <row r="525" spans="1:5" ht="24" x14ac:dyDescent="0.25">
      <c r="A525">
        <v>120104</v>
      </c>
      <c r="B525" s="2" t="s">
        <v>608</v>
      </c>
      <c r="C525" s="2" t="s">
        <v>609</v>
      </c>
      <c r="D525" s="2" t="s">
        <v>613</v>
      </c>
      <c r="E525" s="4">
        <f t="shared" si="8"/>
        <v>0</v>
      </c>
    </row>
    <row r="526" spans="1:5" ht="24" x14ac:dyDescent="0.25">
      <c r="A526">
        <v>120105</v>
      </c>
      <c r="B526" s="2" t="s">
        <v>608</v>
      </c>
      <c r="C526" s="2" t="s">
        <v>609</v>
      </c>
      <c r="D526" s="2" t="s">
        <v>614</v>
      </c>
      <c r="E526" s="4">
        <f t="shared" si="8"/>
        <v>0</v>
      </c>
    </row>
    <row r="527" spans="1:5" ht="24" x14ac:dyDescent="0.25">
      <c r="A527">
        <v>120106</v>
      </c>
      <c r="B527" s="2" t="s">
        <v>608</v>
      </c>
      <c r="C527" s="2" t="s">
        <v>609</v>
      </c>
      <c r="D527" s="2" t="s">
        <v>615</v>
      </c>
      <c r="E527" s="4">
        <f t="shared" si="8"/>
        <v>0</v>
      </c>
    </row>
    <row r="528" spans="1:5" ht="24" x14ac:dyDescent="0.25">
      <c r="A528">
        <v>120107</v>
      </c>
      <c r="B528" s="2" t="s">
        <v>608</v>
      </c>
      <c r="C528" s="2" t="s">
        <v>609</v>
      </c>
      <c r="D528" s="2" t="s">
        <v>616</v>
      </c>
      <c r="E528" s="4">
        <f t="shared" si="8"/>
        <v>0</v>
      </c>
    </row>
    <row r="529" spans="1:5" ht="24" x14ac:dyDescent="0.25">
      <c r="A529">
        <v>120108</v>
      </c>
      <c r="B529" s="2" t="s">
        <v>608</v>
      </c>
      <c r="C529" s="2" t="s">
        <v>609</v>
      </c>
      <c r="D529" s="2" t="s">
        <v>617</v>
      </c>
      <c r="E529" s="4">
        <f t="shared" si="8"/>
        <v>0</v>
      </c>
    </row>
    <row r="530" spans="1:5" ht="24" x14ac:dyDescent="0.25">
      <c r="A530">
        <v>120201</v>
      </c>
      <c r="B530" s="2" t="s">
        <v>608</v>
      </c>
      <c r="C530" s="2" t="s">
        <v>618</v>
      </c>
      <c r="D530" s="2" t="s">
        <v>619</v>
      </c>
      <c r="E530" s="4">
        <f t="shared" si="8"/>
        <v>0</v>
      </c>
    </row>
    <row r="531" spans="1:5" ht="24" x14ac:dyDescent="0.25">
      <c r="A531">
        <v>120202</v>
      </c>
      <c r="B531" s="2" t="s">
        <v>608</v>
      </c>
      <c r="C531" s="2" t="s">
        <v>618</v>
      </c>
      <c r="D531" s="2" t="s">
        <v>620</v>
      </c>
      <c r="E531" s="4">
        <f t="shared" si="8"/>
        <v>0</v>
      </c>
    </row>
    <row r="532" spans="1:5" ht="24" x14ac:dyDescent="0.25">
      <c r="A532">
        <v>120203</v>
      </c>
      <c r="B532" s="2" t="s">
        <v>608</v>
      </c>
      <c r="C532" s="2" t="s">
        <v>618</v>
      </c>
      <c r="D532" s="2" t="s">
        <v>621</v>
      </c>
      <c r="E532" s="4">
        <f t="shared" si="8"/>
        <v>0</v>
      </c>
    </row>
    <row r="533" spans="1:5" ht="24" x14ac:dyDescent="0.25">
      <c r="A533">
        <v>120204</v>
      </c>
      <c r="B533" s="2" t="s">
        <v>608</v>
      </c>
      <c r="C533" s="2" t="s">
        <v>618</v>
      </c>
      <c r="D533" s="2" t="s">
        <v>622</v>
      </c>
      <c r="E533" s="4">
        <f t="shared" si="8"/>
        <v>0</v>
      </c>
    </row>
    <row r="534" spans="1:5" ht="24" x14ac:dyDescent="0.25">
      <c r="A534">
        <v>120205</v>
      </c>
      <c r="B534" s="2" t="s">
        <v>608</v>
      </c>
      <c r="C534" s="2" t="s">
        <v>618</v>
      </c>
      <c r="D534" s="2" t="s">
        <v>623</v>
      </c>
      <c r="E534" s="4">
        <f t="shared" si="8"/>
        <v>0</v>
      </c>
    </row>
    <row r="535" spans="1:5" ht="24" x14ac:dyDescent="0.25">
      <c r="A535">
        <v>120206</v>
      </c>
      <c r="B535" s="2" t="s">
        <v>608</v>
      </c>
      <c r="C535" s="2" t="s">
        <v>618</v>
      </c>
      <c r="D535" s="2" t="s">
        <v>624</v>
      </c>
      <c r="E535" s="4">
        <f t="shared" si="8"/>
        <v>0</v>
      </c>
    </row>
    <row r="536" spans="1:5" ht="24" x14ac:dyDescent="0.25">
      <c r="A536">
        <v>120207</v>
      </c>
      <c r="B536" s="2" t="s">
        <v>608</v>
      </c>
      <c r="C536" s="2" t="s">
        <v>618</v>
      </c>
      <c r="D536" s="2" t="s">
        <v>625</v>
      </c>
      <c r="E536" s="4">
        <f t="shared" si="8"/>
        <v>0</v>
      </c>
    </row>
    <row r="537" spans="1:5" ht="24" x14ac:dyDescent="0.25">
      <c r="A537">
        <v>120208</v>
      </c>
      <c r="B537" s="2" t="s">
        <v>608</v>
      </c>
      <c r="C537" s="2" t="s">
        <v>618</v>
      </c>
      <c r="D537" s="2" t="s">
        <v>626</v>
      </c>
      <c r="E537" s="4">
        <f t="shared" si="8"/>
        <v>0</v>
      </c>
    </row>
    <row r="538" spans="1:5" ht="24" x14ac:dyDescent="0.25">
      <c r="A538">
        <v>120301</v>
      </c>
      <c r="B538" s="2" t="s">
        <v>608</v>
      </c>
      <c r="C538" s="2" t="s">
        <v>627</v>
      </c>
      <c r="D538" s="2" t="s">
        <v>628</v>
      </c>
      <c r="E538" s="4">
        <f t="shared" si="8"/>
        <v>0</v>
      </c>
    </row>
    <row r="539" spans="1:5" ht="24" x14ac:dyDescent="0.25">
      <c r="A539">
        <v>120302</v>
      </c>
      <c r="B539" s="2" t="s">
        <v>608</v>
      </c>
      <c r="C539" s="2" t="s">
        <v>627</v>
      </c>
      <c r="D539" s="2" t="s">
        <v>629</v>
      </c>
      <c r="E539" s="4">
        <f t="shared" si="8"/>
        <v>0</v>
      </c>
    </row>
    <row r="540" spans="1:5" ht="24" x14ac:dyDescent="0.25">
      <c r="A540">
        <v>120303</v>
      </c>
      <c r="B540" s="2" t="s">
        <v>608</v>
      </c>
      <c r="C540" s="2" t="s">
        <v>627</v>
      </c>
      <c r="D540" s="2" t="s">
        <v>630</v>
      </c>
      <c r="E540" s="4">
        <f t="shared" si="8"/>
        <v>0</v>
      </c>
    </row>
    <row r="541" spans="1:5" ht="24" x14ac:dyDescent="0.25">
      <c r="A541">
        <v>120304</v>
      </c>
      <c r="B541" s="2" t="s">
        <v>608</v>
      </c>
      <c r="C541" s="2" t="s">
        <v>627</v>
      </c>
      <c r="D541" s="2" t="s">
        <v>631</v>
      </c>
      <c r="E541" s="4">
        <f t="shared" si="8"/>
        <v>0</v>
      </c>
    </row>
    <row r="542" spans="1:5" ht="24" x14ac:dyDescent="0.25">
      <c r="A542">
        <v>120305</v>
      </c>
      <c r="B542" s="2" t="s">
        <v>608</v>
      </c>
      <c r="C542" s="2" t="s">
        <v>627</v>
      </c>
      <c r="D542" s="2" t="s">
        <v>632</v>
      </c>
      <c r="E542" s="4">
        <f t="shared" si="8"/>
        <v>0</v>
      </c>
    </row>
    <row r="543" spans="1:5" ht="24" x14ac:dyDescent="0.25">
      <c r="A543">
        <v>120306</v>
      </c>
      <c r="B543" s="2" t="s">
        <v>608</v>
      </c>
      <c r="C543" s="2" t="s">
        <v>627</v>
      </c>
      <c r="D543" s="2" t="s">
        <v>633</v>
      </c>
      <c r="E543" s="4">
        <f t="shared" si="8"/>
        <v>0</v>
      </c>
    </row>
    <row r="544" spans="1:5" ht="24" x14ac:dyDescent="0.25">
      <c r="A544">
        <v>120307</v>
      </c>
      <c r="B544" s="2" t="s">
        <v>608</v>
      </c>
      <c r="C544" s="2" t="s">
        <v>627</v>
      </c>
      <c r="D544" s="2" t="s">
        <v>634</v>
      </c>
      <c r="E544" s="4">
        <f t="shared" si="8"/>
        <v>0</v>
      </c>
    </row>
    <row r="545" spans="1:5" ht="24" x14ac:dyDescent="0.25">
      <c r="A545">
        <v>120308</v>
      </c>
      <c r="B545" s="2" t="s">
        <v>608</v>
      </c>
      <c r="C545" s="2" t="s">
        <v>627</v>
      </c>
      <c r="D545" s="2" t="s">
        <v>635</v>
      </c>
      <c r="E545" s="4">
        <f t="shared" si="8"/>
        <v>0</v>
      </c>
    </row>
    <row r="546" spans="1:5" ht="24" x14ac:dyDescent="0.25">
      <c r="A546">
        <v>120309</v>
      </c>
      <c r="B546" s="2" t="s">
        <v>608</v>
      </c>
      <c r="C546" s="2" t="s">
        <v>627</v>
      </c>
      <c r="D546" s="2" t="s">
        <v>400</v>
      </c>
      <c r="E546" s="4">
        <f t="shared" si="8"/>
        <v>0</v>
      </c>
    </row>
    <row r="547" spans="1:5" ht="24" x14ac:dyDescent="0.25">
      <c r="A547">
        <v>120310</v>
      </c>
      <c r="B547" s="2" t="s">
        <v>608</v>
      </c>
      <c r="C547" s="2" t="s">
        <v>627</v>
      </c>
      <c r="D547" s="2" t="s">
        <v>636</v>
      </c>
      <c r="E547" s="4">
        <f t="shared" si="8"/>
        <v>0</v>
      </c>
    </row>
    <row r="548" spans="1:5" ht="24" x14ac:dyDescent="0.25">
      <c r="A548">
        <v>120311</v>
      </c>
      <c r="B548" s="2" t="s">
        <v>608</v>
      </c>
      <c r="C548" s="2" t="s">
        <v>627</v>
      </c>
      <c r="D548" s="2" t="s">
        <v>637</v>
      </c>
      <c r="E548" s="4">
        <f t="shared" si="8"/>
        <v>0</v>
      </c>
    </row>
    <row r="549" spans="1:5" ht="24" x14ac:dyDescent="0.25">
      <c r="A549">
        <v>120312</v>
      </c>
      <c r="B549" s="2" t="s">
        <v>608</v>
      </c>
      <c r="C549" s="2" t="s">
        <v>627</v>
      </c>
      <c r="D549" s="2" t="s">
        <v>638</v>
      </c>
      <c r="E549" s="4">
        <f t="shared" si="8"/>
        <v>0</v>
      </c>
    </row>
    <row r="550" spans="1:5" ht="24" x14ac:dyDescent="0.25">
      <c r="A550">
        <v>120401</v>
      </c>
      <c r="B550" s="2" t="s">
        <v>608</v>
      </c>
      <c r="C550" s="2" t="s">
        <v>639</v>
      </c>
      <c r="D550" s="2" t="s">
        <v>640</v>
      </c>
      <c r="E550" s="4">
        <f t="shared" si="8"/>
        <v>0</v>
      </c>
    </row>
    <row r="551" spans="1:5" ht="24" x14ac:dyDescent="0.25">
      <c r="A551">
        <v>120402</v>
      </c>
      <c r="B551" s="2" t="s">
        <v>608</v>
      </c>
      <c r="C551" s="2" t="s">
        <v>639</v>
      </c>
      <c r="D551" s="2" t="s">
        <v>641</v>
      </c>
      <c r="E551" s="4">
        <f t="shared" si="8"/>
        <v>0</v>
      </c>
    </row>
    <row r="552" spans="1:5" ht="24" x14ac:dyDescent="0.25">
      <c r="A552">
        <v>120403</v>
      </c>
      <c r="B552" s="2" t="s">
        <v>608</v>
      </c>
      <c r="C552" s="2" t="s">
        <v>639</v>
      </c>
      <c r="D552" s="2" t="s">
        <v>642</v>
      </c>
      <c r="E552" s="4">
        <f t="shared" si="8"/>
        <v>0</v>
      </c>
    </row>
    <row r="553" spans="1:5" ht="24" x14ac:dyDescent="0.25">
      <c r="A553">
        <v>120404</v>
      </c>
      <c r="B553" s="2" t="s">
        <v>608</v>
      </c>
      <c r="C553" s="2" t="s">
        <v>639</v>
      </c>
      <c r="D553" s="2" t="s">
        <v>643</v>
      </c>
      <c r="E553" s="4">
        <f t="shared" si="8"/>
        <v>0</v>
      </c>
    </row>
    <row r="554" spans="1:5" ht="24" x14ac:dyDescent="0.25">
      <c r="A554">
        <v>120405</v>
      </c>
      <c r="B554" s="2" t="s">
        <v>608</v>
      </c>
      <c r="C554" s="2" t="s">
        <v>639</v>
      </c>
      <c r="D554" s="2" t="s">
        <v>644</v>
      </c>
      <c r="E554" s="4">
        <f t="shared" si="8"/>
        <v>0</v>
      </c>
    </row>
    <row r="555" spans="1:5" ht="24" x14ac:dyDescent="0.25">
      <c r="A555">
        <v>120501</v>
      </c>
      <c r="B555" s="2" t="s">
        <v>608</v>
      </c>
      <c r="C555" s="2" t="s">
        <v>645</v>
      </c>
      <c r="D555" s="2" t="s">
        <v>646</v>
      </c>
      <c r="E555" s="4">
        <f t="shared" si="8"/>
        <v>0</v>
      </c>
    </row>
    <row r="556" spans="1:5" ht="24" x14ac:dyDescent="0.25">
      <c r="A556">
        <v>120502</v>
      </c>
      <c r="B556" s="2" t="s">
        <v>608</v>
      </c>
      <c r="C556" s="2" t="s">
        <v>645</v>
      </c>
      <c r="D556" s="2" t="s">
        <v>647</v>
      </c>
      <c r="E556" s="4">
        <f t="shared" si="8"/>
        <v>0</v>
      </c>
    </row>
    <row r="557" spans="1:5" ht="24" x14ac:dyDescent="0.25">
      <c r="A557">
        <v>120503</v>
      </c>
      <c r="B557" s="2" t="s">
        <v>608</v>
      </c>
      <c r="C557" s="2" t="s">
        <v>645</v>
      </c>
      <c r="D557" s="2" t="s">
        <v>648</v>
      </c>
      <c r="E557" s="4">
        <f t="shared" si="8"/>
        <v>0</v>
      </c>
    </row>
    <row r="558" spans="1:5" ht="24" x14ac:dyDescent="0.25">
      <c r="A558">
        <v>120504</v>
      </c>
      <c r="B558" s="2" t="s">
        <v>608</v>
      </c>
      <c r="C558" s="2" t="s">
        <v>645</v>
      </c>
      <c r="D558" s="2" t="s">
        <v>649</v>
      </c>
      <c r="E558" s="4">
        <f t="shared" si="8"/>
        <v>0</v>
      </c>
    </row>
    <row r="559" spans="1:5" ht="24" x14ac:dyDescent="0.25">
      <c r="A559">
        <v>120505</v>
      </c>
      <c r="B559" s="2" t="s">
        <v>608</v>
      </c>
      <c r="C559" s="2" t="s">
        <v>645</v>
      </c>
      <c r="D559" s="2" t="s">
        <v>650</v>
      </c>
      <c r="E559" s="4">
        <f t="shared" si="8"/>
        <v>0</v>
      </c>
    </row>
    <row r="560" spans="1:5" ht="24" x14ac:dyDescent="0.25">
      <c r="A560">
        <v>120506</v>
      </c>
      <c r="B560" s="2" t="s">
        <v>608</v>
      </c>
      <c r="C560" s="2" t="s">
        <v>645</v>
      </c>
      <c r="D560" s="2" t="s">
        <v>651</v>
      </c>
      <c r="E560" s="4">
        <f t="shared" si="8"/>
        <v>0</v>
      </c>
    </row>
    <row r="561" spans="1:5" ht="24" x14ac:dyDescent="0.25">
      <c r="A561">
        <v>120507</v>
      </c>
      <c r="B561" s="2" t="s">
        <v>608</v>
      </c>
      <c r="C561" s="2" t="s">
        <v>645</v>
      </c>
      <c r="D561" s="2" t="s">
        <v>652</v>
      </c>
      <c r="E561" s="4">
        <f t="shared" si="8"/>
        <v>0</v>
      </c>
    </row>
    <row r="562" spans="1:5" ht="24" x14ac:dyDescent="0.25">
      <c r="A562">
        <v>120508</v>
      </c>
      <c r="B562" s="2" t="s">
        <v>608</v>
      </c>
      <c r="C562" s="2" t="s">
        <v>645</v>
      </c>
      <c r="D562" s="2" t="s">
        <v>653</v>
      </c>
      <c r="E562" s="4">
        <f t="shared" si="8"/>
        <v>0</v>
      </c>
    </row>
    <row r="563" spans="1:5" ht="24" x14ac:dyDescent="0.25">
      <c r="A563">
        <v>120509</v>
      </c>
      <c r="B563" s="2" t="s">
        <v>608</v>
      </c>
      <c r="C563" s="2" t="s">
        <v>645</v>
      </c>
      <c r="D563" s="2" t="s">
        <v>654</v>
      </c>
      <c r="E563" s="4">
        <f t="shared" si="8"/>
        <v>0</v>
      </c>
    </row>
    <row r="564" spans="1:5" ht="24" x14ac:dyDescent="0.25">
      <c r="A564">
        <v>120601</v>
      </c>
      <c r="B564" s="2" t="s">
        <v>608</v>
      </c>
      <c r="C564" s="2" t="s">
        <v>655</v>
      </c>
      <c r="D564" s="2" t="s">
        <v>656</v>
      </c>
      <c r="E564" s="4">
        <f t="shared" si="8"/>
        <v>0</v>
      </c>
    </row>
    <row r="565" spans="1:5" ht="24" x14ac:dyDescent="0.25">
      <c r="A565">
        <v>120604</v>
      </c>
      <c r="B565" s="2" t="s">
        <v>608</v>
      </c>
      <c r="C565" s="2" t="s">
        <v>655</v>
      </c>
      <c r="D565" s="2" t="s">
        <v>657</v>
      </c>
      <c r="E565" s="4">
        <f t="shared" si="8"/>
        <v>0</v>
      </c>
    </row>
    <row r="566" spans="1:5" ht="24" x14ac:dyDescent="0.25">
      <c r="A566">
        <v>120605</v>
      </c>
      <c r="B566" s="2" t="s">
        <v>608</v>
      </c>
      <c r="C566" s="2" t="s">
        <v>655</v>
      </c>
      <c r="D566" s="2" t="s">
        <v>655</v>
      </c>
      <c r="E566" s="4">
        <f t="shared" si="8"/>
        <v>0</v>
      </c>
    </row>
    <row r="567" spans="1:5" ht="24" x14ac:dyDescent="0.25">
      <c r="A567">
        <v>120606</v>
      </c>
      <c r="B567" s="2" t="s">
        <v>608</v>
      </c>
      <c r="C567" s="2" t="s">
        <v>655</v>
      </c>
      <c r="D567" s="2" t="s">
        <v>658</v>
      </c>
      <c r="E567" s="4">
        <f t="shared" si="8"/>
        <v>0</v>
      </c>
    </row>
    <row r="568" spans="1:5" ht="24" x14ac:dyDescent="0.25">
      <c r="A568">
        <v>120607</v>
      </c>
      <c r="B568" s="2" t="s">
        <v>608</v>
      </c>
      <c r="C568" s="2" t="s">
        <v>655</v>
      </c>
      <c r="D568" s="2" t="s">
        <v>659</v>
      </c>
      <c r="E568" s="4">
        <f t="shared" si="8"/>
        <v>0</v>
      </c>
    </row>
    <row r="569" spans="1:5" ht="24" x14ac:dyDescent="0.25">
      <c r="A569">
        <v>120701</v>
      </c>
      <c r="B569" s="2" t="s">
        <v>608</v>
      </c>
      <c r="C569" s="2" t="s">
        <v>660</v>
      </c>
      <c r="D569" s="2" t="s">
        <v>660</v>
      </c>
      <c r="E569" s="4">
        <f t="shared" si="8"/>
        <v>0</v>
      </c>
    </row>
    <row r="570" spans="1:5" ht="24" x14ac:dyDescent="0.25">
      <c r="A570">
        <v>120702</v>
      </c>
      <c r="B570" s="2" t="s">
        <v>608</v>
      </c>
      <c r="C570" s="2" t="s">
        <v>660</v>
      </c>
      <c r="D570" s="2" t="s">
        <v>661</v>
      </c>
      <c r="E570" s="4">
        <f t="shared" si="8"/>
        <v>0</v>
      </c>
    </row>
    <row r="571" spans="1:5" ht="24" x14ac:dyDescent="0.25">
      <c r="A571">
        <v>120705</v>
      </c>
      <c r="B571" s="2" t="s">
        <v>608</v>
      </c>
      <c r="C571" s="2" t="s">
        <v>660</v>
      </c>
      <c r="D571" s="2" t="s">
        <v>662</v>
      </c>
      <c r="E571" s="4">
        <f t="shared" si="8"/>
        <v>0</v>
      </c>
    </row>
    <row r="572" spans="1:5" ht="24" x14ac:dyDescent="0.25">
      <c r="A572">
        <v>120706</v>
      </c>
      <c r="B572" s="2" t="s">
        <v>608</v>
      </c>
      <c r="C572" s="2" t="s">
        <v>660</v>
      </c>
      <c r="D572" s="2" t="s">
        <v>663</v>
      </c>
      <c r="E572" s="4">
        <f t="shared" si="8"/>
        <v>0</v>
      </c>
    </row>
    <row r="573" spans="1:5" x14ac:dyDescent="0.25">
      <c r="A573">
        <v>10213</v>
      </c>
      <c r="B573" s="2" t="s">
        <v>92</v>
      </c>
      <c r="C573" s="2" t="s">
        <v>100</v>
      </c>
      <c r="D573" s="2" t="s">
        <v>664</v>
      </c>
      <c r="E573" s="4">
        <f t="shared" si="8"/>
        <v>0</v>
      </c>
    </row>
    <row r="574" spans="1:5" x14ac:dyDescent="0.25">
      <c r="A574">
        <v>10214</v>
      </c>
      <c r="B574" s="2" t="s">
        <v>92</v>
      </c>
      <c r="C574" s="2" t="s">
        <v>100</v>
      </c>
      <c r="D574" s="2" t="s">
        <v>665</v>
      </c>
      <c r="E574" s="4">
        <f t="shared" si="8"/>
        <v>0</v>
      </c>
    </row>
    <row r="575" spans="1:5" x14ac:dyDescent="0.25">
      <c r="A575">
        <v>10215</v>
      </c>
      <c r="B575" s="2" t="s">
        <v>92</v>
      </c>
      <c r="C575" s="2" t="s">
        <v>100</v>
      </c>
      <c r="D575" s="2" t="s">
        <v>666</v>
      </c>
      <c r="E575" s="4">
        <f t="shared" si="8"/>
        <v>0</v>
      </c>
    </row>
    <row r="576" spans="1:5" x14ac:dyDescent="0.25">
      <c r="A576">
        <v>10216</v>
      </c>
      <c r="B576" s="2" t="s">
        <v>92</v>
      </c>
      <c r="C576" s="2" t="s">
        <v>100</v>
      </c>
      <c r="D576" s="2" t="s">
        <v>667</v>
      </c>
      <c r="E576" s="4">
        <f t="shared" si="8"/>
        <v>0</v>
      </c>
    </row>
    <row r="577" spans="1:5" x14ac:dyDescent="0.25">
      <c r="A577">
        <v>10217</v>
      </c>
      <c r="B577" s="2" t="s">
        <v>92</v>
      </c>
      <c r="C577" s="2" t="s">
        <v>100</v>
      </c>
      <c r="D577" s="2" t="s">
        <v>668</v>
      </c>
      <c r="E577" s="4">
        <f t="shared" si="8"/>
        <v>0</v>
      </c>
    </row>
    <row r="578" spans="1:5" x14ac:dyDescent="0.25">
      <c r="A578">
        <v>10401</v>
      </c>
      <c r="B578" s="2" t="s">
        <v>92</v>
      </c>
      <c r="C578" s="2" t="s">
        <v>98</v>
      </c>
      <c r="D578" s="2" t="s">
        <v>669</v>
      </c>
      <c r="E578" s="4">
        <f t="shared" si="8"/>
        <v>0</v>
      </c>
    </row>
    <row r="579" spans="1:5" x14ac:dyDescent="0.25">
      <c r="A579">
        <v>10402</v>
      </c>
      <c r="B579" s="2" t="s">
        <v>92</v>
      </c>
      <c r="C579" s="2" t="s">
        <v>98</v>
      </c>
      <c r="D579" s="2" t="s">
        <v>670</v>
      </c>
      <c r="E579" s="4">
        <f t="shared" si="8"/>
        <v>0</v>
      </c>
    </row>
    <row r="580" spans="1:5" x14ac:dyDescent="0.25">
      <c r="A580">
        <v>10404</v>
      </c>
      <c r="B580" s="2" t="s">
        <v>92</v>
      </c>
      <c r="C580" s="2" t="s">
        <v>98</v>
      </c>
      <c r="D580" s="2" t="s">
        <v>671</v>
      </c>
      <c r="E580" s="4">
        <f t="shared" si="8"/>
        <v>0</v>
      </c>
    </row>
    <row r="581" spans="1:5" x14ac:dyDescent="0.25">
      <c r="A581">
        <v>10405</v>
      </c>
      <c r="B581" s="2" t="s">
        <v>92</v>
      </c>
      <c r="C581" s="2" t="s">
        <v>98</v>
      </c>
      <c r="D581" s="2" t="s">
        <v>672</v>
      </c>
      <c r="E581" s="4">
        <f t="shared" ref="E581:E644" si="9">SUM(F581:AEZ581)</f>
        <v>0</v>
      </c>
    </row>
    <row r="582" spans="1:5" x14ac:dyDescent="0.25">
      <c r="A582">
        <v>10406</v>
      </c>
      <c r="B582" s="2" t="s">
        <v>92</v>
      </c>
      <c r="C582" s="2" t="s">
        <v>98</v>
      </c>
      <c r="D582" s="2" t="s">
        <v>673</v>
      </c>
      <c r="E582" s="4">
        <f t="shared" si="9"/>
        <v>0</v>
      </c>
    </row>
    <row r="583" spans="1:5" x14ac:dyDescent="0.25">
      <c r="A583">
        <v>10403</v>
      </c>
      <c r="B583" s="2" t="s">
        <v>92</v>
      </c>
      <c r="C583" s="2" t="s">
        <v>98</v>
      </c>
      <c r="D583" s="2" t="s">
        <v>99</v>
      </c>
      <c r="E583" s="4">
        <f t="shared" si="9"/>
        <v>0</v>
      </c>
    </row>
    <row r="584" spans="1:5" x14ac:dyDescent="0.25">
      <c r="A584">
        <v>10403</v>
      </c>
      <c r="B584" s="2" t="s">
        <v>92</v>
      </c>
      <c r="C584" s="2" t="s">
        <v>98</v>
      </c>
      <c r="D584" s="2" t="s">
        <v>674</v>
      </c>
      <c r="E584" s="4">
        <f t="shared" si="9"/>
        <v>0</v>
      </c>
    </row>
    <row r="585" spans="1:5" x14ac:dyDescent="0.25">
      <c r="A585">
        <v>20106</v>
      </c>
      <c r="B585" s="2" t="s">
        <v>116</v>
      </c>
      <c r="C585" s="2" t="s">
        <v>117</v>
      </c>
      <c r="D585" s="2" t="s">
        <v>675</v>
      </c>
      <c r="E585" s="4">
        <f t="shared" si="9"/>
        <v>0</v>
      </c>
    </row>
    <row r="586" spans="1:5" x14ac:dyDescent="0.25">
      <c r="A586">
        <v>20107</v>
      </c>
      <c r="B586" s="2" t="s">
        <v>116</v>
      </c>
      <c r="C586" s="2" t="s">
        <v>117</v>
      </c>
      <c r="D586" s="2" t="s">
        <v>676</v>
      </c>
      <c r="E586" s="4">
        <f t="shared" si="9"/>
        <v>0</v>
      </c>
    </row>
    <row r="587" spans="1:5" ht="24" x14ac:dyDescent="0.25">
      <c r="A587">
        <v>20108</v>
      </c>
      <c r="B587" s="2" t="s">
        <v>116</v>
      </c>
      <c r="C587" s="2" t="s">
        <v>117</v>
      </c>
      <c r="D587" s="2" t="s">
        <v>677</v>
      </c>
      <c r="E587" s="4">
        <f t="shared" si="9"/>
        <v>0</v>
      </c>
    </row>
    <row r="588" spans="1:5" x14ac:dyDescent="0.25">
      <c r="A588">
        <v>20307</v>
      </c>
      <c r="B588" s="2" t="s">
        <v>116</v>
      </c>
      <c r="C588" s="2" t="s">
        <v>134</v>
      </c>
      <c r="D588" s="2" t="s">
        <v>678</v>
      </c>
      <c r="E588" s="4">
        <f t="shared" si="9"/>
        <v>0</v>
      </c>
    </row>
    <row r="589" spans="1:5" x14ac:dyDescent="0.25">
      <c r="A589">
        <v>20407</v>
      </c>
      <c r="B589" s="2" t="s">
        <v>116</v>
      </c>
      <c r="C589" s="2" t="s">
        <v>141</v>
      </c>
      <c r="D589" s="2" t="s">
        <v>679</v>
      </c>
      <c r="E589" s="4">
        <f t="shared" si="9"/>
        <v>0</v>
      </c>
    </row>
    <row r="590" spans="1:5" x14ac:dyDescent="0.25">
      <c r="A590">
        <v>30115</v>
      </c>
      <c r="B590" s="2" t="s">
        <v>164</v>
      </c>
      <c r="C590" s="2" t="s">
        <v>164</v>
      </c>
      <c r="D590" s="2" t="s">
        <v>680</v>
      </c>
      <c r="E590" s="4">
        <f t="shared" si="9"/>
        <v>0</v>
      </c>
    </row>
    <row r="591" spans="1:5" ht="24" x14ac:dyDescent="0.25">
      <c r="A591">
        <v>30601</v>
      </c>
      <c r="B591" s="2" t="s">
        <v>164</v>
      </c>
      <c r="C591" s="2" t="s">
        <v>681</v>
      </c>
      <c r="D591" s="2" t="s">
        <v>682</v>
      </c>
      <c r="E591" s="4">
        <f t="shared" si="9"/>
        <v>0</v>
      </c>
    </row>
    <row r="592" spans="1:5" ht="24" x14ac:dyDescent="0.25">
      <c r="A592">
        <v>30602</v>
      </c>
      <c r="B592" s="2" t="s">
        <v>164</v>
      </c>
      <c r="C592" s="2" t="s">
        <v>681</v>
      </c>
      <c r="D592" s="2" t="s">
        <v>683</v>
      </c>
      <c r="E592" s="4">
        <f t="shared" si="9"/>
        <v>0</v>
      </c>
    </row>
    <row r="593" spans="1:5" ht="24" x14ac:dyDescent="0.25">
      <c r="A593">
        <v>30603</v>
      </c>
      <c r="B593" s="2" t="s">
        <v>164</v>
      </c>
      <c r="C593" s="2" t="s">
        <v>681</v>
      </c>
      <c r="D593" s="2" t="s">
        <v>684</v>
      </c>
      <c r="E593" s="4">
        <f t="shared" si="9"/>
        <v>0</v>
      </c>
    </row>
    <row r="594" spans="1:5" x14ac:dyDescent="0.25">
      <c r="A594">
        <v>40514</v>
      </c>
      <c r="B594" s="2" t="s">
        <v>205</v>
      </c>
      <c r="C594" s="2" t="s">
        <v>237</v>
      </c>
      <c r="D594" s="2" t="s">
        <v>685</v>
      </c>
      <c r="E594" s="4">
        <f t="shared" si="9"/>
        <v>0</v>
      </c>
    </row>
    <row r="595" spans="1:5" x14ac:dyDescent="0.25">
      <c r="A595">
        <v>40515</v>
      </c>
      <c r="B595" s="2" t="s">
        <v>205</v>
      </c>
      <c r="C595" s="2" t="s">
        <v>237</v>
      </c>
      <c r="D595" s="2" t="s">
        <v>686</v>
      </c>
      <c r="E595" s="4">
        <f t="shared" si="9"/>
        <v>0</v>
      </c>
    </row>
    <row r="596" spans="1:5" x14ac:dyDescent="0.25">
      <c r="A596">
        <v>40611</v>
      </c>
      <c r="B596" s="2" t="s">
        <v>205</v>
      </c>
      <c r="C596" s="2" t="s">
        <v>247</v>
      </c>
      <c r="D596" s="2" t="s">
        <v>687</v>
      </c>
      <c r="E596" s="4">
        <f t="shared" si="9"/>
        <v>0</v>
      </c>
    </row>
    <row r="597" spans="1:5" x14ac:dyDescent="0.25">
      <c r="A597">
        <v>40612</v>
      </c>
      <c r="B597" s="2" t="s">
        <v>205</v>
      </c>
      <c r="C597" s="2" t="s">
        <v>247</v>
      </c>
      <c r="D597" s="2" t="s">
        <v>688</v>
      </c>
      <c r="E597" s="4">
        <f t="shared" si="9"/>
        <v>0</v>
      </c>
    </row>
    <row r="598" spans="1:5" x14ac:dyDescent="0.25">
      <c r="A598">
        <v>41401</v>
      </c>
      <c r="B598" s="2" t="s">
        <v>205</v>
      </c>
      <c r="C598" s="2" t="s">
        <v>689</v>
      </c>
      <c r="D598" s="2" t="s">
        <v>690</v>
      </c>
      <c r="E598" s="4">
        <f t="shared" si="9"/>
        <v>0</v>
      </c>
    </row>
    <row r="599" spans="1:5" x14ac:dyDescent="0.25">
      <c r="A599">
        <v>41402</v>
      </c>
      <c r="B599" s="2" t="s">
        <v>205</v>
      </c>
      <c r="C599" s="2" t="s">
        <v>689</v>
      </c>
      <c r="D599" s="2" t="s">
        <v>691</v>
      </c>
      <c r="E599" s="4">
        <f t="shared" si="9"/>
        <v>0</v>
      </c>
    </row>
    <row r="600" spans="1:5" x14ac:dyDescent="0.25">
      <c r="A600">
        <v>41403</v>
      </c>
      <c r="B600" s="2" t="s">
        <v>205</v>
      </c>
      <c r="C600" s="2" t="s">
        <v>689</v>
      </c>
      <c r="D600" s="2" t="s">
        <v>692</v>
      </c>
      <c r="E600" s="4">
        <f t="shared" si="9"/>
        <v>0</v>
      </c>
    </row>
    <row r="601" spans="1:5" x14ac:dyDescent="0.25">
      <c r="A601">
        <v>41404</v>
      </c>
      <c r="B601" s="2" t="s">
        <v>205</v>
      </c>
      <c r="C601" s="2" t="s">
        <v>689</v>
      </c>
      <c r="D601" s="2" t="s">
        <v>693</v>
      </c>
      <c r="E601" s="4">
        <f t="shared" si="9"/>
        <v>0</v>
      </c>
    </row>
    <row r="602" spans="1:5" x14ac:dyDescent="0.25">
      <c r="A602">
        <v>41405</v>
      </c>
      <c r="B602" s="2" t="s">
        <v>205</v>
      </c>
      <c r="C602" s="2" t="s">
        <v>689</v>
      </c>
      <c r="D602" s="2" t="s">
        <v>694</v>
      </c>
      <c r="E602" s="4">
        <f t="shared" si="9"/>
        <v>0</v>
      </c>
    </row>
    <row r="603" spans="1:5" x14ac:dyDescent="0.25">
      <c r="A603">
        <v>50307</v>
      </c>
      <c r="B603" s="2" t="s">
        <v>301</v>
      </c>
      <c r="C603" s="2" t="s">
        <v>564</v>
      </c>
      <c r="D603" s="2" t="s">
        <v>695</v>
      </c>
      <c r="E603" s="4">
        <f t="shared" si="9"/>
        <v>0</v>
      </c>
    </row>
    <row r="604" spans="1:5" x14ac:dyDescent="0.25">
      <c r="A604">
        <v>50313</v>
      </c>
      <c r="B604" s="2" t="s">
        <v>301</v>
      </c>
      <c r="C604" s="2" t="s">
        <v>564</v>
      </c>
      <c r="D604" s="2" t="s">
        <v>696</v>
      </c>
      <c r="E604" s="4">
        <f t="shared" si="9"/>
        <v>0</v>
      </c>
    </row>
    <row r="605" spans="1:5" x14ac:dyDescent="0.25">
      <c r="A605">
        <v>50314</v>
      </c>
      <c r="B605" s="2" t="s">
        <v>301</v>
      </c>
      <c r="C605" s="2" t="s">
        <v>564</v>
      </c>
      <c r="D605" s="2" t="s">
        <v>697</v>
      </c>
      <c r="E605" s="4">
        <f t="shared" si="9"/>
        <v>0</v>
      </c>
    </row>
    <row r="606" spans="1:5" x14ac:dyDescent="0.25">
      <c r="A606">
        <v>50315</v>
      </c>
      <c r="B606" s="2" t="s">
        <v>301</v>
      </c>
      <c r="C606" s="2" t="s">
        <v>564</v>
      </c>
      <c r="D606" s="2" t="s">
        <v>698</v>
      </c>
      <c r="E606" s="4">
        <f t="shared" si="9"/>
        <v>0</v>
      </c>
    </row>
    <row r="607" spans="1:5" x14ac:dyDescent="0.25">
      <c r="A607">
        <v>50316</v>
      </c>
      <c r="B607" s="2" t="s">
        <v>301</v>
      </c>
      <c r="C607" s="2" t="s">
        <v>564</v>
      </c>
      <c r="D607" s="2" t="s">
        <v>565</v>
      </c>
      <c r="E607" s="4">
        <f t="shared" si="9"/>
        <v>0</v>
      </c>
    </row>
    <row r="608" spans="1:5" x14ac:dyDescent="0.25">
      <c r="A608">
        <v>50317</v>
      </c>
      <c r="B608" s="2" t="s">
        <v>301</v>
      </c>
      <c r="C608" s="2" t="s">
        <v>564</v>
      </c>
      <c r="D608" s="2" t="s">
        <v>99</v>
      </c>
      <c r="E608" s="4">
        <f t="shared" si="9"/>
        <v>0</v>
      </c>
    </row>
    <row r="609" spans="1:5" x14ac:dyDescent="0.25">
      <c r="A609">
        <v>50317</v>
      </c>
      <c r="B609" s="2" t="s">
        <v>301</v>
      </c>
      <c r="C609" s="2" t="s">
        <v>564</v>
      </c>
      <c r="D609" s="2" t="s">
        <v>699</v>
      </c>
      <c r="E609" s="4">
        <f t="shared" si="9"/>
        <v>0</v>
      </c>
    </row>
    <row r="610" spans="1:5" x14ac:dyDescent="0.25">
      <c r="A610">
        <v>50308</v>
      </c>
      <c r="B610" s="2" t="s">
        <v>301</v>
      </c>
      <c r="C610" s="2" t="s">
        <v>564</v>
      </c>
      <c r="D610" s="2" t="s">
        <v>700</v>
      </c>
      <c r="E610" s="4">
        <f t="shared" si="9"/>
        <v>0</v>
      </c>
    </row>
    <row r="611" spans="1:5" x14ac:dyDescent="0.25">
      <c r="A611">
        <v>50307</v>
      </c>
      <c r="B611" s="2" t="s">
        <v>301</v>
      </c>
      <c r="C611" s="2" t="s">
        <v>564</v>
      </c>
      <c r="D611" s="2" t="s">
        <v>695</v>
      </c>
      <c r="E611" s="4">
        <f t="shared" si="9"/>
        <v>0</v>
      </c>
    </row>
    <row r="612" spans="1:5" x14ac:dyDescent="0.25">
      <c r="A612">
        <v>50314</v>
      </c>
      <c r="B612" s="2" t="s">
        <v>301</v>
      </c>
      <c r="C612" s="2" t="s">
        <v>564</v>
      </c>
      <c r="D612" s="2" t="s">
        <v>697</v>
      </c>
      <c r="E612" s="4">
        <f t="shared" si="9"/>
        <v>0</v>
      </c>
    </row>
    <row r="613" spans="1:5" x14ac:dyDescent="0.25">
      <c r="A613">
        <v>50308</v>
      </c>
      <c r="B613" s="2" t="s">
        <v>301</v>
      </c>
      <c r="C613" s="2" t="s">
        <v>564</v>
      </c>
      <c r="D613" s="2" t="s">
        <v>700</v>
      </c>
      <c r="E613" s="4">
        <f t="shared" si="9"/>
        <v>0</v>
      </c>
    </row>
    <row r="614" spans="1:5" x14ac:dyDescent="0.25">
      <c r="A614">
        <v>50317</v>
      </c>
      <c r="B614" s="2" t="s">
        <v>301</v>
      </c>
      <c r="C614" s="2" t="s">
        <v>564</v>
      </c>
      <c r="D614" s="2" t="s">
        <v>699</v>
      </c>
      <c r="E614" s="4">
        <f t="shared" si="9"/>
        <v>0</v>
      </c>
    </row>
    <row r="615" spans="1:5" x14ac:dyDescent="0.25">
      <c r="A615">
        <v>50316</v>
      </c>
      <c r="B615" s="2" t="s">
        <v>301</v>
      </c>
      <c r="C615" s="2" t="s">
        <v>564</v>
      </c>
      <c r="D615" s="2" t="s">
        <v>565</v>
      </c>
      <c r="E615" s="4">
        <f t="shared" si="9"/>
        <v>0</v>
      </c>
    </row>
    <row r="616" spans="1:5" x14ac:dyDescent="0.25">
      <c r="A616">
        <v>60408</v>
      </c>
      <c r="B616" s="2" t="s">
        <v>321</v>
      </c>
      <c r="C616" s="2" t="s">
        <v>345</v>
      </c>
      <c r="D616" s="2" t="s">
        <v>701</v>
      </c>
      <c r="E616" s="4">
        <f t="shared" si="9"/>
        <v>0</v>
      </c>
    </row>
    <row r="617" spans="1:5" x14ac:dyDescent="0.25">
      <c r="A617">
        <v>70315</v>
      </c>
      <c r="B617" s="2" t="s">
        <v>374</v>
      </c>
      <c r="C617" s="2" t="s">
        <v>374</v>
      </c>
      <c r="D617" s="2" t="s">
        <v>702</v>
      </c>
      <c r="E617" s="4">
        <f t="shared" si="9"/>
        <v>0</v>
      </c>
    </row>
    <row r="618" spans="1:5" x14ac:dyDescent="0.25">
      <c r="A618">
        <v>80826</v>
      </c>
      <c r="B618" s="2" t="s">
        <v>451</v>
      </c>
      <c r="C618" s="2" t="s">
        <v>451</v>
      </c>
      <c r="D618" s="2" t="s">
        <v>703</v>
      </c>
      <c r="E618" s="4">
        <f t="shared" si="9"/>
        <v>0</v>
      </c>
    </row>
    <row r="619" spans="1:5" x14ac:dyDescent="0.25">
      <c r="A619">
        <v>90407</v>
      </c>
      <c r="B619" s="2" t="s">
        <v>508</v>
      </c>
      <c r="C619" s="2" t="s">
        <v>425</v>
      </c>
      <c r="D619" s="2" t="s">
        <v>704</v>
      </c>
      <c r="E619" s="4">
        <f t="shared" si="9"/>
        <v>0</v>
      </c>
    </row>
    <row r="620" spans="1:5" x14ac:dyDescent="0.25">
      <c r="A620">
        <v>90513</v>
      </c>
      <c r="B620" s="2" t="s">
        <v>508</v>
      </c>
      <c r="C620" s="2" t="s">
        <v>426</v>
      </c>
      <c r="D620" s="2" t="s">
        <v>705</v>
      </c>
      <c r="E620" s="4">
        <f t="shared" si="9"/>
        <v>0</v>
      </c>
    </row>
    <row r="621" spans="1:5" x14ac:dyDescent="0.25">
      <c r="A621">
        <v>91013</v>
      </c>
      <c r="B621" s="2" t="s">
        <v>508</v>
      </c>
      <c r="C621" s="2" t="s">
        <v>573</v>
      </c>
      <c r="D621" s="2" t="s">
        <v>706</v>
      </c>
      <c r="E621" s="4">
        <f t="shared" si="9"/>
        <v>0</v>
      </c>
    </row>
    <row r="622" spans="1:5" x14ac:dyDescent="0.25">
      <c r="A622">
        <v>91014</v>
      </c>
      <c r="B622" s="2" t="s">
        <v>508</v>
      </c>
      <c r="C622" s="2" t="s">
        <v>573</v>
      </c>
      <c r="D622" s="2" t="s">
        <v>707</v>
      </c>
      <c r="E622" s="4">
        <f t="shared" si="9"/>
        <v>0</v>
      </c>
    </row>
    <row r="623" spans="1:5" x14ac:dyDescent="0.25">
      <c r="A623">
        <v>91015</v>
      </c>
      <c r="B623" s="2" t="s">
        <v>508</v>
      </c>
      <c r="C623" s="2" t="s">
        <v>573</v>
      </c>
      <c r="D623" s="2" t="s">
        <v>708</v>
      </c>
      <c r="E623" s="4">
        <f t="shared" si="9"/>
        <v>0</v>
      </c>
    </row>
    <row r="624" spans="1:5" x14ac:dyDescent="0.25">
      <c r="A624">
        <v>91016</v>
      </c>
      <c r="B624" s="2" t="s">
        <v>508</v>
      </c>
      <c r="C624" s="2" t="s">
        <v>573</v>
      </c>
      <c r="D624" s="2" t="s">
        <v>709</v>
      </c>
      <c r="E624" s="4">
        <f t="shared" si="9"/>
        <v>0</v>
      </c>
    </row>
    <row r="625" spans="1:5" x14ac:dyDescent="0.25">
      <c r="A625">
        <v>91111</v>
      </c>
      <c r="B625" s="2" t="s">
        <v>508</v>
      </c>
      <c r="C625" s="2" t="s">
        <v>583</v>
      </c>
      <c r="D625" s="2" t="s">
        <v>710</v>
      </c>
      <c r="E625" s="4">
        <f t="shared" si="9"/>
        <v>0</v>
      </c>
    </row>
    <row r="626" spans="1:5" x14ac:dyDescent="0.25">
      <c r="A626">
        <v>91112</v>
      </c>
      <c r="B626" s="2" t="s">
        <v>508</v>
      </c>
      <c r="C626" s="2" t="s">
        <v>583</v>
      </c>
      <c r="D626" s="2" t="s">
        <v>711</v>
      </c>
      <c r="E626" s="4">
        <f t="shared" si="9"/>
        <v>0</v>
      </c>
    </row>
    <row r="627" spans="1:5" ht="24" x14ac:dyDescent="0.25">
      <c r="A627">
        <v>120313</v>
      </c>
      <c r="B627" s="2" t="s">
        <v>608</v>
      </c>
      <c r="C627" s="2" t="s">
        <v>627</v>
      </c>
      <c r="D627" s="2" t="s">
        <v>712</v>
      </c>
      <c r="E627" s="4">
        <f t="shared" si="9"/>
        <v>0</v>
      </c>
    </row>
    <row r="628" spans="1:5" ht="24" x14ac:dyDescent="0.25">
      <c r="A628">
        <v>120315</v>
      </c>
      <c r="B628" s="2" t="s">
        <v>608</v>
      </c>
      <c r="C628" s="2" t="s">
        <v>627</v>
      </c>
      <c r="D628" s="2" t="s">
        <v>713</v>
      </c>
      <c r="E628" s="4">
        <f t="shared" si="9"/>
        <v>0</v>
      </c>
    </row>
    <row r="629" spans="1:5" ht="24" x14ac:dyDescent="0.25">
      <c r="A629">
        <v>120315</v>
      </c>
      <c r="B629" s="2" t="s">
        <v>608</v>
      </c>
      <c r="C629" s="2" t="s">
        <v>627</v>
      </c>
      <c r="D629" s="2" t="s">
        <v>714</v>
      </c>
      <c r="E629" s="4">
        <f t="shared" si="9"/>
        <v>0</v>
      </c>
    </row>
    <row r="630" spans="1:5" ht="24" x14ac:dyDescent="0.25">
      <c r="A630">
        <v>120316</v>
      </c>
      <c r="B630" s="2" t="s">
        <v>608</v>
      </c>
      <c r="C630" s="2" t="s">
        <v>627</v>
      </c>
      <c r="D630" s="2" t="s">
        <v>715</v>
      </c>
      <c r="E630" s="4">
        <f t="shared" si="9"/>
        <v>0</v>
      </c>
    </row>
    <row r="631" spans="1:5" ht="24" x14ac:dyDescent="0.25">
      <c r="A631">
        <v>120510</v>
      </c>
      <c r="B631" s="2" t="s">
        <v>608</v>
      </c>
      <c r="C631" s="2" t="s">
        <v>645</v>
      </c>
      <c r="D631" s="2" t="s">
        <v>716</v>
      </c>
      <c r="E631" s="4">
        <f t="shared" si="9"/>
        <v>0</v>
      </c>
    </row>
    <row r="632" spans="1:5" ht="24" x14ac:dyDescent="0.25">
      <c r="A632">
        <v>120511</v>
      </c>
      <c r="B632" s="2" t="s">
        <v>608</v>
      </c>
      <c r="C632" s="2" t="s">
        <v>645</v>
      </c>
      <c r="D632" s="2" t="s">
        <v>717</v>
      </c>
      <c r="E632" s="4">
        <f t="shared" si="9"/>
        <v>0</v>
      </c>
    </row>
    <row r="633" spans="1:5" ht="24" x14ac:dyDescent="0.25">
      <c r="A633">
        <v>120610</v>
      </c>
      <c r="B633" s="2" t="s">
        <v>608</v>
      </c>
      <c r="C633" s="2" t="s">
        <v>655</v>
      </c>
      <c r="D633" s="2" t="s">
        <v>718</v>
      </c>
      <c r="E633" s="4">
        <f t="shared" si="9"/>
        <v>0</v>
      </c>
    </row>
    <row r="634" spans="1:5" ht="24" x14ac:dyDescent="0.25">
      <c r="A634">
        <v>120611</v>
      </c>
      <c r="B634" s="2" t="s">
        <v>608</v>
      </c>
      <c r="C634" s="2" t="s">
        <v>655</v>
      </c>
      <c r="D634" s="2" t="s">
        <v>719</v>
      </c>
      <c r="E634" s="4">
        <f t="shared" si="9"/>
        <v>0</v>
      </c>
    </row>
    <row r="635" spans="1:5" ht="24" x14ac:dyDescent="0.25">
      <c r="A635">
        <v>120708</v>
      </c>
      <c r="B635" s="2" t="s">
        <v>608</v>
      </c>
      <c r="C635" s="2" t="s">
        <v>660</v>
      </c>
      <c r="D635" s="2" t="s">
        <v>156</v>
      </c>
      <c r="E635" s="4">
        <f t="shared" si="9"/>
        <v>0</v>
      </c>
    </row>
    <row r="636" spans="1:5" ht="24" x14ac:dyDescent="0.25">
      <c r="A636">
        <v>120801</v>
      </c>
      <c r="B636" s="2" t="s">
        <v>608</v>
      </c>
      <c r="C636" s="2" t="s">
        <v>720</v>
      </c>
      <c r="D636" s="2" t="s">
        <v>721</v>
      </c>
      <c r="E636" s="4">
        <f t="shared" si="9"/>
        <v>0</v>
      </c>
    </row>
    <row r="637" spans="1:5" ht="24" x14ac:dyDescent="0.25">
      <c r="A637">
        <v>120802</v>
      </c>
      <c r="B637" s="2" t="s">
        <v>608</v>
      </c>
      <c r="C637" s="2" t="s">
        <v>720</v>
      </c>
      <c r="D637" s="2" t="s">
        <v>722</v>
      </c>
      <c r="E637" s="4">
        <f t="shared" si="9"/>
        <v>0</v>
      </c>
    </row>
    <row r="638" spans="1:5" ht="24" x14ac:dyDescent="0.25">
      <c r="A638">
        <v>120803</v>
      </c>
      <c r="B638" s="2" t="s">
        <v>608</v>
      </c>
      <c r="C638" s="2" t="s">
        <v>720</v>
      </c>
      <c r="D638" s="2" t="s">
        <v>723</v>
      </c>
      <c r="E638" s="4">
        <f t="shared" si="9"/>
        <v>0</v>
      </c>
    </row>
    <row r="639" spans="1:5" ht="24" x14ac:dyDescent="0.25">
      <c r="A639">
        <v>120804</v>
      </c>
      <c r="B639" s="2" t="s">
        <v>608</v>
      </c>
      <c r="C639" s="2" t="s">
        <v>720</v>
      </c>
      <c r="D639" s="2" t="s">
        <v>724</v>
      </c>
      <c r="E639" s="4">
        <f t="shared" si="9"/>
        <v>0</v>
      </c>
    </row>
    <row r="640" spans="1:5" ht="24" x14ac:dyDescent="0.25">
      <c r="A640">
        <v>120805</v>
      </c>
      <c r="B640" s="2" t="s">
        <v>608</v>
      </c>
      <c r="C640" s="2" t="s">
        <v>720</v>
      </c>
      <c r="D640" s="2" t="s">
        <v>725</v>
      </c>
      <c r="E640" s="4">
        <f t="shared" si="9"/>
        <v>0</v>
      </c>
    </row>
    <row r="641" spans="1:5" ht="36" x14ac:dyDescent="0.25">
      <c r="A641">
        <v>120901</v>
      </c>
      <c r="B641" s="2" t="s">
        <v>608</v>
      </c>
      <c r="C641" s="2" t="s">
        <v>726</v>
      </c>
      <c r="D641" s="2" t="s">
        <v>727</v>
      </c>
      <c r="E641" s="4">
        <f t="shared" si="9"/>
        <v>0</v>
      </c>
    </row>
    <row r="642" spans="1:5" ht="24" x14ac:dyDescent="0.25">
      <c r="A642">
        <v>120902</v>
      </c>
      <c r="B642" s="2" t="s">
        <v>608</v>
      </c>
      <c r="C642" s="2" t="s">
        <v>726</v>
      </c>
      <c r="D642" s="2" t="s">
        <v>728</v>
      </c>
      <c r="E642" s="4">
        <f t="shared" si="9"/>
        <v>0</v>
      </c>
    </row>
    <row r="643" spans="1:5" ht="24" x14ac:dyDescent="0.25">
      <c r="A643">
        <v>120903</v>
      </c>
      <c r="B643" s="2" t="s">
        <v>608</v>
      </c>
      <c r="C643" s="2" t="s">
        <v>726</v>
      </c>
      <c r="D643" s="2" t="s">
        <v>729</v>
      </c>
      <c r="E643" s="4">
        <f t="shared" si="9"/>
        <v>0</v>
      </c>
    </row>
    <row r="644" spans="1:5" ht="24" x14ac:dyDescent="0.25">
      <c r="A644">
        <v>120904</v>
      </c>
      <c r="B644" s="2" t="s">
        <v>608</v>
      </c>
      <c r="C644" s="2" t="s">
        <v>726</v>
      </c>
      <c r="D644" s="2" t="s">
        <v>730</v>
      </c>
      <c r="E644" s="4">
        <f t="shared" si="9"/>
        <v>0</v>
      </c>
    </row>
    <row r="645" spans="1:5" ht="24" x14ac:dyDescent="0.25">
      <c r="A645">
        <v>120905</v>
      </c>
      <c r="B645" s="2" t="s">
        <v>608</v>
      </c>
      <c r="C645" s="2" t="s">
        <v>726</v>
      </c>
      <c r="D645" s="2" t="s">
        <v>731</v>
      </c>
      <c r="E645" s="4">
        <f t="shared" ref="E645:E708" si="10">SUM(F645:AEZ645)</f>
        <v>0</v>
      </c>
    </row>
    <row r="646" spans="1:5" x14ac:dyDescent="0.25">
      <c r="A646">
        <v>130101</v>
      </c>
      <c r="B646" s="2" t="s">
        <v>732</v>
      </c>
      <c r="C646" s="2" t="s">
        <v>733</v>
      </c>
      <c r="D646" s="2" t="s">
        <v>734</v>
      </c>
      <c r="E646" s="4">
        <f t="shared" si="10"/>
        <v>0</v>
      </c>
    </row>
    <row r="647" spans="1:5" x14ac:dyDescent="0.25">
      <c r="A647">
        <v>130101</v>
      </c>
      <c r="B647" s="2" t="s">
        <v>732</v>
      </c>
      <c r="C647" s="2" t="s">
        <v>733</v>
      </c>
      <c r="D647" s="2" t="s">
        <v>734</v>
      </c>
      <c r="E647" s="4">
        <f t="shared" si="10"/>
        <v>0</v>
      </c>
    </row>
    <row r="648" spans="1:5" ht="24" x14ac:dyDescent="0.25">
      <c r="A648">
        <v>130102</v>
      </c>
      <c r="B648" s="2" t="s">
        <v>732</v>
      </c>
      <c r="C648" s="2" t="s">
        <v>733</v>
      </c>
      <c r="D648" s="2" t="s">
        <v>735</v>
      </c>
      <c r="E648" s="4">
        <f t="shared" si="10"/>
        <v>0</v>
      </c>
    </row>
    <row r="649" spans="1:5" x14ac:dyDescent="0.25">
      <c r="A649">
        <v>130103</v>
      </c>
      <c r="B649" s="2" t="s">
        <v>732</v>
      </c>
      <c r="C649" s="2" t="s">
        <v>733</v>
      </c>
      <c r="D649" s="2" t="s">
        <v>736</v>
      </c>
      <c r="E649" s="4">
        <f t="shared" si="10"/>
        <v>0</v>
      </c>
    </row>
    <row r="650" spans="1:5" x14ac:dyDescent="0.25">
      <c r="A650">
        <v>130103</v>
      </c>
      <c r="B650" s="2" t="s">
        <v>732</v>
      </c>
      <c r="C650" s="2" t="s">
        <v>733</v>
      </c>
      <c r="D650" s="2" t="s">
        <v>736</v>
      </c>
      <c r="E650" s="4">
        <f t="shared" si="10"/>
        <v>0</v>
      </c>
    </row>
    <row r="651" spans="1:5" x14ac:dyDescent="0.25">
      <c r="A651">
        <v>130104</v>
      </c>
      <c r="B651" s="2" t="s">
        <v>732</v>
      </c>
      <c r="C651" s="2" t="s">
        <v>733</v>
      </c>
      <c r="D651" s="2" t="s">
        <v>283</v>
      </c>
      <c r="E651" s="4">
        <f t="shared" si="10"/>
        <v>0</v>
      </c>
    </row>
    <row r="652" spans="1:5" x14ac:dyDescent="0.25">
      <c r="A652">
        <v>130104</v>
      </c>
      <c r="B652" s="2" t="s">
        <v>732</v>
      </c>
      <c r="C652" s="2" t="s">
        <v>733</v>
      </c>
      <c r="D652" s="2" t="s">
        <v>283</v>
      </c>
      <c r="E652" s="4">
        <f t="shared" si="10"/>
        <v>0</v>
      </c>
    </row>
    <row r="653" spans="1:5" x14ac:dyDescent="0.25">
      <c r="A653">
        <v>130105</v>
      </c>
      <c r="B653" s="2" t="s">
        <v>732</v>
      </c>
      <c r="C653" s="2" t="s">
        <v>733</v>
      </c>
      <c r="D653" s="2" t="s">
        <v>737</v>
      </c>
      <c r="E653" s="4">
        <f t="shared" si="10"/>
        <v>0</v>
      </c>
    </row>
    <row r="654" spans="1:5" x14ac:dyDescent="0.25">
      <c r="A654">
        <v>130106</v>
      </c>
      <c r="B654" s="2" t="s">
        <v>732</v>
      </c>
      <c r="C654" s="2" t="s">
        <v>733</v>
      </c>
      <c r="D654" s="2" t="s">
        <v>738</v>
      </c>
      <c r="E654" s="4">
        <f t="shared" si="10"/>
        <v>0</v>
      </c>
    </row>
    <row r="655" spans="1:5" x14ac:dyDescent="0.25">
      <c r="A655">
        <v>130107</v>
      </c>
      <c r="B655" s="2" t="s">
        <v>732</v>
      </c>
      <c r="C655" s="2" t="s">
        <v>733</v>
      </c>
      <c r="D655" s="2" t="s">
        <v>739</v>
      </c>
      <c r="E655" s="4">
        <f t="shared" si="10"/>
        <v>0</v>
      </c>
    </row>
    <row r="656" spans="1:5" x14ac:dyDescent="0.25">
      <c r="A656">
        <v>130107</v>
      </c>
      <c r="B656" s="2" t="s">
        <v>732</v>
      </c>
      <c r="C656" s="2" t="s">
        <v>733</v>
      </c>
      <c r="D656" s="2" t="s">
        <v>739</v>
      </c>
      <c r="E656" s="4">
        <f t="shared" si="10"/>
        <v>0</v>
      </c>
    </row>
    <row r="657" spans="1:5" x14ac:dyDescent="0.25">
      <c r="A657">
        <v>130108</v>
      </c>
      <c r="B657" s="2" t="s">
        <v>732</v>
      </c>
      <c r="C657" s="2" t="s">
        <v>733</v>
      </c>
      <c r="D657" s="2" t="s">
        <v>740</v>
      </c>
      <c r="E657" s="4">
        <f t="shared" si="10"/>
        <v>0</v>
      </c>
    </row>
    <row r="658" spans="1:5" x14ac:dyDescent="0.25">
      <c r="A658">
        <v>130301</v>
      </c>
      <c r="B658" s="2" t="s">
        <v>732</v>
      </c>
      <c r="C658" s="2" t="s">
        <v>741</v>
      </c>
      <c r="D658" s="2" t="s">
        <v>742</v>
      </c>
      <c r="E658" s="4">
        <f t="shared" si="10"/>
        <v>0</v>
      </c>
    </row>
    <row r="659" spans="1:5" x14ac:dyDescent="0.25">
      <c r="A659">
        <v>130302</v>
      </c>
      <c r="B659" s="2" t="s">
        <v>732</v>
      </c>
      <c r="C659" s="2" t="s">
        <v>741</v>
      </c>
      <c r="D659" s="2" t="s">
        <v>743</v>
      </c>
      <c r="E659" s="4">
        <f t="shared" si="10"/>
        <v>0</v>
      </c>
    </row>
    <row r="660" spans="1:5" x14ac:dyDescent="0.25">
      <c r="A660">
        <v>130303</v>
      </c>
      <c r="B660" s="2" t="s">
        <v>732</v>
      </c>
      <c r="C660" s="2" t="s">
        <v>741</v>
      </c>
      <c r="D660" s="2" t="s">
        <v>744</v>
      </c>
      <c r="E660" s="4">
        <f t="shared" si="10"/>
        <v>0</v>
      </c>
    </row>
    <row r="661" spans="1:5" x14ac:dyDescent="0.25">
      <c r="A661">
        <v>130310</v>
      </c>
      <c r="B661" s="2" t="s">
        <v>732</v>
      </c>
      <c r="C661" s="2" t="s">
        <v>741</v>
      </c>
      <c r="D661" s="2" t="s">
        <v>745</v>
      </c>
      <c r="E661" s="4">
        <f t="shared" si="10"/>
        <v>0</v>
      </c>
    </row>
    <row r="662" spans="1:5" x14ac:dyDescent="0.25">
      <c r="A662">
        <v>130305</v>
      </c>
      <c r="B662" s="2" t="s">
        <v>732</v>
      </c>
      <c r="C662" s="2" t="s">
        <v>741</v>
      </c>
      <c r="D662" s="2" t="s">
        <v>746</v>
      </c>
      <c r="E662" s="4">
        <f t="shared" si="10"/>
        <v>0</v>
      </c>
    </row>
    <row r="663" spans="1:5" x14ac:dyDescent="0.25">
      <c r="A663">
        <v>130306</v>
      </c>
      <c r="B663" s="2" t="s">
        <v>732</v>
      </c>
      <c r="C663" s="2" t="s">
        <v>741</v>
      </c>
      <c r="D663" s="2" t="s">
        <v>747</v>
      </c>
      <c r="E663" s="4">
        <f t="shared" si="10"/>
        <v>0</v>
      </c>
    </row>
    <row r="664" spans="1:5" x14ac:dyDescent="0.25">
      <c r="A664">
        <v>130307</v>
      </c>
      <c r="B664" s="2" t="s">
        <v>732</v>
      </c>
      <c r="C664" s="2" t="s">
        <v>741</v>
      </c>
      <c r="D664" s="2" t="s">
        <v>444</v>
      </c>
      <c r="E664" s="4">
        <f t="shared" si="10"/>
        <v>0</v>
      </c>
    </row>
    <row r="665" spans="1:5" x14ac:dyDescent="0.25">
      <c r="A665">
        <v>130308</v>
      </c>
      <c r="B665" s="2" t="s">
        <v>732</v>
      </c>
      <c r="C665" s="2" t="s">
        <v>741</v>
      </c>
      <c r="D665" s="2" t="s">
        <v>748</v>
      </c>
      <c r="E665" s="4">
        <f t="shared" si="10"/>
        <v>0</v>
      </c>
    </row>
    <row r="666" spans="1:5" x14ac:dyDescent="0.25">
      <c r="A666">
        <v>130309</v>
      </c>
      <c r="B666" s="2" t="s">
        <v>732</v>
      </c>
      <c r="C666" s="2" t="s">
        <v>741</v>
      </c>
      <c r="D666" s="2" t="s">
        <v>749</v>
      </c>
      <c r="E666" s="4">
        <f t="shared" si="10"/>
        <v>0</v>
      </c>
    </row>
    <row r="667" spans="1:5" x14ac:dyDescent="0.25">
      <c r="A667">
        <v>130311</v>
      </c>
      <c r="B667" s="2" t="s">
        <v>732</v>
      </c>
      <c r="C667" s="2" t="s">
        <v>741</v>
      </c>
      <c r="D667" s="2" t="s">
        <v>750</v>
      </c>
      <c r="E667" s="4">
        <f t="shared" si="10"/>
        <v>0</v>
      </c>
    </row>
    <row r="668" spans="1:5" x14ac:dyDescent="0.25">
      <c r="A668">
        <v>130312</v>
      </c>
      <c r="B668" s="2" t="s">
        <v>732</v>
      </c>
      <c r="C668" s="2" t="s">
        <v>741</v>
      </c>
      <c r="D668" s="2" t="s">
        <v>751</v>
      </c>
      <c r="E668" s="4">
        <f t="shared" si="10"/>
        <v>0</v>
      </c>
    </row>
    <row r="669" spans="1:5" x14ac:dyDescent="0.25">
      <c r="A669">
        <v>130313</v>
      </c>
      <c r="B669" s="2" t="s">
        <v>732</v>
      </c>
      <c r="C669" s="2" t="s">
        <v>741</v>
      </c>
      <c r="D669" s="2" t="s">
        <v>177</v>
      </c>
      <c r="E669" s="4">
        <f t="shared" si="10"/>
        <v>0</v>
      </c>
    </row>
    <row r="670" spans="1:5" x14ac:dyDescent="0.25">
      <c r="A670">
        <v>130304</v>
      </c>
      <c r="B670" s="2" t="s">
        <v>732</v>
      </c>
      <c r="C670" s="2" t="s">
        <v>741</v>
      </c>
      <c r="D670" s="2" t="s">
        <v>752</v>
      </c>
      <c r="E670" s="4">
        <f t="shared" si="10"/>
        <v>0</v>
      </c>
    </row>
    <row r="671" spans="1:5" x14ac:dyDescent="0.25">
      <c r="A671">
        <v>130401</v>
      </c>
      <c r="B671" s="2" t="s">
        <v>732</v>
      </c>
      <c r="C671" s="2" t="s">
        <v>753</v>
      </c>
      <c r="D671" s="2" t="s">
        <v>754</v>
      </c>
      <c r="E671" s="4">
        <f t="shared" si="10"/>
        <v>0</v>
      </c>
    </row>
    <row r="672" spans="1:5" x14ac:dyDescent="0.25">
      <c r="A672">
        <v>130402</v>
      </c>
      <c r="B672" s="2" t="s">
        <v>732</v>
      </c>
      <c r="C672" s="2" t="s">
        <v>753</v>
      </c>
      <c r="D672" s="2" t="s">
        <v>755</v>
      </c>
      <c r="E672" s="4">
        <f t="shared" si="10"/>
        <v>0</v>
      </c>
    </row>
    <row r="673" spans="1:5" x14ac:dyDescent="0.25">
      <c r="A673">
        <v>130403</v>
      </c>
      <c r="B673" s="2" t="s">
        <v>732</v>
      </c>
      <c r="C673" s="2" t="s">
        <v>753</v>
      </c>
      <c r="D673" s="2" t="s">
        <v>756</v>
      </c>
      <c r="E673" s="4">
        <f t="shared" si="10"/>
        <v>0</v>
      </c>
    </row>
    <row r="674" spans="1:5" x14ac:dyDescent="0.25">
      <c r="A674">
        <v>130404</v>
      </c>
      <c r="B674" s="2" t="s">
        <v>732</v>
      </c>
      <c r="C674" s="2" t="s">
        <v>753</v>
      </c>
      <c r="D674" s="2" t="s">
        <v>125</v>
      </c>
      <c r="E674" s="4">
        <f t="shared" si="10"/>
        <v>0</v>
      </c>
    </row>
    <row r="675" spans="1:5" x14ac:dyDescent="0.25">
      <c r="A675">
        <v>130405</v>
      </c>
      <c r="B675" s="2" t="s">
        <v>732</v>
      </c>
      <c r="C675" s="2" t="s">
        <v>753</v>
      </c>
      <c r="D675" s="2" t="s">
        <v>757</v>
      </c>
      <c r="E675" s="4">
        <f t="shared" si="10"/>
        <v>0</v>
      </c>
    </row>
    <row r="676" spans="1:5" x14ac:dyDescent="0.25">
      <c r="A676">
        <v>130406</v>
      </c>
      <c r="B676" s="2" t="s">
        <v>732</v>
      </c>
      <c r="C676" s="2" t="s">
        <v>753</v>
      </c>
      <c r="D676" s="2" t="s">
        <v>758</v>
      </c>
      <c r="E676" s="4">
        <f t="shared" si="10"/>
        <v>0</v>
      </c>
    </row>
    <row r="677" spans="1:5" x14ac:dyDescent="0.25">
      <c r="A677">
        <v>130407</v>
      </c>
      <c r="B677" s="2" t="s">
        <v>732</v>
      </c>
      <c r="C677" s="2" t="s">
        <v>753</v>
      </c>
      <c r="D677" s="2" t="s">
        <v>285</v>
      </c>
      <c r="E677" s="4">
        <f t="shared" si="10"/>
        <v>0</v>
      </c>
    </row>
    <row r="678" spans="1:5" x14ac:dyDescent="0.25">
      <c r="A678">
        <v>130408</v>
      </c>
      <c r="B678" s="2" t="s">
        <v>732</v>
      </c>
      <c r="C678" s="2" t="s">
        <v>753</v>
      </c>
      <c r="D678" s="2" t="s">
        <v>759</v>
      </c>
      <c r="E678" s="4">
        <f t="shared" si="10"/>
        <v>0</v>
      </c>
    </row>
    <row r="679" spans="1:5" x14ac:dyDescent="0.25">
      <c r="A679">
        <v>130409</v>
      </c>
      <c r="B679" s="2" t="s">
        <v>732</v>
      </c>
      <c r="C679" s="2" t="s">
        <v>753</v>
      </c>
      <c r="D679" s="2" t="s">
        <v>760</v>
      </c>
      <c r="E679" s="4">
        <f t="shared" si="10"/>
        <v>0</v>
      </c>
    </row>
    <row r="680" spans="1:5" x14ac:dyDescent="0.25">
      <c r="A680">
        <v>130410</v>
      </c>
      <c r="B680" s="2" t="s">
        <v>732</v>
      </c>
      <c r="C680" s="2" t="s">
        <v>753</v>
      </c>
      <c r="D680" s="2" t="s">
        <v>761</v>
      </c>
      <c r="E680" s="4">
        <f t="shared" si="10"/>
        <v>0</v>
      </c>
    </row>
    <row r="681" spans="1:5" x14ac:dyDescent="0.25">
      <c r="A681">
        <v>130411</v>
      </c>
      <c r="B681" s="2" t="s">
        <v>732</v>
      </c>
      <c r="C681" s="2" t="s">
        <v>753</v>
      </c>
      <c r="D681" s="2" t="s">
        <v>762</v>
      </c>
      <c r="E681" s="4">
        <f t="shared" si="10"/>
        <v>0</v>
      </c>
    </row>
    <row r="682" spans="1:5" x14ac:dyDescent="0.25">
      <c r="A682">
        <v>130701</v>
      </c>
      <c r="B682" s="2" t="s">
        <v>732</v>
      </c>
      <c r="C682" s="2" t="s">
        <v>763</v>
      </c>
      <c r="D682" s="2" t="s">
        <v>764</v>
      </c>
      <c r="E682" s="4">
        <f t="shared" si="10"/>
        <v>0</v>
      </c>
    </row>
    <row r="683" spans="1:5" x14ac:dyDescent="0.25">
      <c r="A683">
        <v>130702</v>
      </c>
      <c r="B683" s="2" t="s">
        <v>732</v>
      </c>
      <c r="C683" s="2" t="s">
        <v>763</v>
      </c>
      <c r="D683" s="2" t="s">
        <v>765</v>
      </c>
      <c r="E683" s="4">
        <f t="shared" si="10"/>
        <v>0</v>
      </c>
    </row>
    <row r="684" spans="1:5" x14ac:dyDescent="0.25">
      <c r="A684">
        <v>130703</v>
      </c>
      <c r="B684" s="2" t="s">
        <v>732</v>
      </c>
      <c r="C684" s="2" t="s">
        <v>763</v>
      </c>
      <c r="D684" s="2" t="s">
        <v>766</v>
      </c>
      <c r="E684" s="4">
        <f t="shared" si="10"/>
        <v>0</v>
      </c>
    </row>
    <row r="685" spans="1:5" x14ac:dyDescent="0.25">
      <c r="A685">
        <v>130703</v>
      </c>
      <c r="B685" s="2" t="s">
        <v>732</v>
      </c>
      <c r="C685" s="2" t="s">
        <v>763</v>
      </c>
      <c r="D685" s="2" t="s">
        <v>766</v>
      </c>
      <c r="E685" s="4">
        <f t="shared" si="10"/>
        <v>0</v>
      </c>
    </row>
    <row r="686" spans="1:5" x14ac:dyDescent="0.25">
      <c r="A686">
        <v>130704</v>
      </c>
      <c r="B686" s="2" t="s">
        <v>732</v>
      </c>
      <c r="C686" s="2" t="s">
        <v>763</v>
      </c>
      <c r="D686" s="2" t="s">
        <v>767</v>
      </c>
      <c r="E686" s="4">
        <f t="shared" si="10"/>
        <v>0</v>
      </c>
    </row>
    <row r="687" spans="1:5" x14ac:dyDescent="0.25">
      <c r="A687">
        <v>130704</v>
      </c>
      <c r="B687" s="2" t="s">
        <v>732</v>
      </c>
      <c r="C687" s="2" t="s">
        <v>763</v>
      </c>
      <c r="D687" s="2" t="s">
        <v>767</v>
      </c>
      <c r="E687" s="4">
        <f t="shared" si="10"/>
        <v>0</v>
      </c>
    </row>
    <row r="688" spans="1:5" x14ac:dyDescent="0.25">
      <c r="A688">
        <v>130705</v>
      </c>
      <c r="B688" s="2" t="s">
        <v>732</v>
      </c>
      <c r="C688" s="2" t="s">
        <v>763</v>
      </c>
      <c r="D688" s="2" t="s">
        <v>768</v>
      </c>
      <c r="E688" s="4">
        <f t="shared" si="10"/>
        <v>0</v>
      </c>
    </row>
    <row r="689" spans="1:5" x14ac:dyDescent="0.25">
      <c r="A689">
        <v>130705</v>
      </c>
      <c r="B689" s="2" t="s">
        <v>732</v>
      </c>
      <c r="C689" s="2" t="s">
        <v>763</v>
      </c>
      <c r="D689" s="2" t="s">
        <v>768</v>
      </c>
      <c r="E689" s="4">
        <f t="shared" si="10"/>
        <v>0</v>
      </c>
    </row>
    <row r="690" spans="1:5" x14ac:dyDescent="0.25">
      <c r="A690">
        <v>130706</v>
      </c>
      <c r="B690" s="2" t="s">
        <v>732</v>
      </c>
      <c r="C690" s="2" t="s">
        <v>763</v>
      </c>
      <c r="D690" s="2" t="s">
        <v>158</v>
      </c>
      <c r="E690" s="4">
        <f t="shared" si="10"/>
        <v>0</v>
      </c>
    </row>
    <row r="691" spans="1:5" x14ac:dyDescent="0.25">
      <c r="A691">
        <v>130707</v>
      </c>
      <c r="B691" s="2" t="s">
        <v>732</v>
      </c>
      <c r="C691" s="2" t="s">
        <v>763</v>
      </c>
      <c r="D691" s="2" t="s">
        <v>769</v>
      </c>
      <c r="E691" s="4">
        <f t="shared" si="10"/>
        <v>0</v>
      </c>
    </row>
    <row r="692" spans="1:5" x14ac:dyDescent="0.25">
      <c r="A692">
        <v>130708</v>
      </c>
      <c r="B692" s="2" t="s">
        <v>732</v>
      </c>
      <c r="C692" s="2" t="s">
        <v>763</v>
      </c>
      <c r="D692" s="2" t="s">
        <v>770</v>
      </c>
      <c r="E692" s="4">
        <f t="shared" si="10"/>
        <v>0</v>
      </c>
    </row>
    <row r="693" spans="1:5" x14ac:dyDescent="0.25">
      <c r="A693">
        <v>130709</v>
      </c>
      <c r="B693" s="2" t="s">
        <v>732</v>
      </c>
      <c r="C693" s="2" t="s">
        <v>763</v>
      </c>
      <c r="D693" s="2" t="s">
        <v>321</v>
      </c>
      <c r="E693" s="4">
        <f t="shared" si="10"/>
        <v>0</v>
      </c>
    </row>
    <row r="694" spans="1:5" x14ac:dyDescent="0.25">
      <c r="A694">
        <v>130710</v>
      </c>
      <c r="B694" s="2" t="s">
        <v>732</v>
      </c>
      <c r="C694" s="2" t="s">
        <v>763</v>
      </c>
      <c r="D694" s="2" t="s">
        <v>771</v>
      </c>
      <c r="E694" s="4">
        <f t="shared" si="10"/>
        <v>0</v>
      </c>
    </row>
    <row r="695" spans="1:5" x14ac:dyDescent="0.25">
      <c r="A695">
        <v>130711</v>
      </c>
      <c r="B695" s="2" t="s">
        <v>732</v>
      </c>
      <c r="C695" s="2" t="s">
        <v>763</v>
      </c>
      <c r="D695" s="2" t="s">
        <v>772</v>
      </c>
      <c r="E695" s="4">
        <f t="shared" si="10"/>
        <v>0</v>
      </c>
    </row>
    <row r="696" spans="1:5" x14ac:dyDescent="0.25">
      <c r="A696">
        <v>130711</v>
      </c>
      <c r="B696" s="2" t="s">
        <v>732</v>
      </c>
      <c r="C696" s="2" t="s">
        <v>763</v>
      </c>
      <c r="D696" s="2" t="s">
        <v>772</v>
      </c>
      <c r="E696" s="4">
        <f t="shared" si="10"/>
        <v>0</v>
      </c>
    </row>
    <row r="697" spans="1:5" x14ac:dyDescent="0.25">
      <c r="A697">
        <v>130712</v>
      </c>
      <c r="B697" s="2" t="s">
        <v>732</v>
      </c>
      <c r="C697" s="2" t="s">
        <v>763</v>
      </c>
      <c r="D697" s="2" t="s">
        <v>773</v>
      </c>
      <c r="E697" s="4">
        <f t="shared" si="10"/>
        <v>0</v>
      </c>
    </row>
    <row r="698" spans="1:5" x14ac:dyDescent="0.25">
      <c r="A698">
        <v>130712</v>
      </c>
      <c r="B698" s="2" t="s">
        <v>732</v>
      </c>
      <c r="C698" s="2" t="s">
        <v>763</v>
      </c>
      <c r="D698" s="2" t="s">
        <v>773</v>
      </c>
      <c r="E698" s="4">
        <f t="shared" si="10"/>
        <v>0</v>
      </c>
    </row>
    <row r="699" spans="1:5" x14ac:dyDescent="0.25">
      <c r="A699">
        <v>130713</v>
      </c>
      <c r="B699" s="2" t="s">
        <v>732</v>
      </c>
      <c r="C699" s="2" t="s">
        <v>763</v>
      </c>
      <c r="D699" s="2" t="s">
        <v>774</v>
      </c>
      <c r="E699" s="4">
        <f t="shared" si="10"/>
        <v>0</v>
      </c>
    </row>
    <row r="700" spans="1:5" x14ac:dyDescent="0.25">
      <c r="A700">
        <v>130714</v>
      </c>
      <c r="B700" s="2" t="s">
        <v>732</v>
      </c>
      <c r="C700" s="2" t="s">
        <v>763</v>
      </c>
      <c r="D700" s="2" t="s">
        <v>775</v>
      </c>
      <c r="E700" s="4">
        <f t="shared" si="10"/>
        <v>0</v>
      </c>
    </row>
    <row r="701" spans="1:5" x14ac:dyDescent="0.25">
      <c r="A701">
        <v>130714</v>
      </c>
      <c r="B701" s="2" t="s">
        <v>732</v>
      </c>
      <c r="C701" s="2" t="s">
        <v>763</v>
      </c>
      <c r="D701" s="2" t="s">
        <v>775</v>
      </c>
      <c r="E701" s="4">
        <f t="shared" si="10"/>
        <v>0</v>
      </c>
    </row>
    <row r="702" spans="1:5" x14ac:dyDescent="0.25">
      <c r="A702">
        <v>130715</v>
      </c>
      <c r="B702" s="2" t="s">
        <v>732</v>
      </c>
      <c r="C702" s="2" t="s">
        <v>763</v>
      </c>
      <c r="D702" s="2" t="s">
        <v>776</v>
      </c>
      <c r="E702" s="4">
        <f t="shared" si="10"/>
        <v>0</v>
      </c>
    </row>
    <row r="703" spans="1:5" x14ac:dyDescent="0.25">
      <c r="A703">
        <v>130716</v>
      </c>
      <c r="B703" s="2" t="s">
        <v>732</v>
      </c>
      <c r="C703" s="2" t="s">
        <v>763</v>
      </c>
      <c r="D703" s="2" t="s">
        <v>777</v>
      </c>
      <c r="E703" s="4">
        <f t="shared" si="10"/>
        <v>0</v>
      </c>
    </row>
    <row r="704" spans="1:5" x14ac:dyDescent="0.25">
      <c r="A704">
        <v>130717</v>
      </c>
      <c r="B704" s="2" t="s">
        <v>732</v>
      </c>
      <c r="C704" s="2" t="s">
        <v>763</v>
      </c>
      <c r="D704" s="2" t="s">
        <v>778</v>
      </c>
      <c r="E704" s="4">
        <f t="shared" si="10"/>
        <v>0</v>
      </c>
    </row>
    <row r="705" spans="1:5" x14ac:dyDescent="0.25">
      <c r="A705">
        <v>130718</v>
      </c>
      <c r="B705" s="2" t="s">
        <v>732</v>
      </c>
      <c r="C705" s="2" t="s">
        <v>763</v>
      </c>
      <c r="D705" s="2" t="s">
        <v>132</v>
      </c>
      <c r="E705" s="4">
        <f t="shared" si="10"/>
        <v>0</v>
      </c>
    </row>
    <row r="706" spans="1:5" x14ac:dyDescent="0.25">
      <c r="A706">
        <v>130901</v>
      </c>
      <c r="B706" s="2" t="s">
        <v>732</v>
      </c>
      <c r="C706" s="2" t="s">
        <v>252</v>
      </c>
      <c r="D706" s="2" t="s">
        <v>779</v>
      </c>
      <c r="E706" s="4">
        <f t="shared" si="10"/>
        <v>0</v>
      </c>
    </row>
    <row r="707" spans="1:5" x14ac:dyDescent="0.25">
      <c r="A707">
        <v>130902</v>
      </c>
      <c r="B707" s="2" t="s">
        <v>732</v>
      </c>
      <c r="C707" s="2" t="s">
        <v>252</v>
      </c>
      <c r="D707" s="2" t="s">
        <v>780</v>
      </c>
      <c r="E707" s="4">
        <f t="shared" si="10"/>
        <v>0</v>
      </c>
    </row>
    <row r="708" spans="1:5" x14ac:dyDescent="0.25">
      <c r="A708">
        <v>130903</v>
      </c>
      <c r="B708" s="2" t="s">
        <v>732</v>
      </c>
      <c r="C708" s="2" t="s">
        <v>252</v>
      </c>
      <c r="D708" s="2" t="s">
        <v>704</v>
      </c>
      <c r="E708" s="4">
        <f t="shared" si="10"/>
        <v>0</v>
      </c>
    </row>
    <row r="709" spans="1:5" x14ac:dyDescent="0.25">
      <c r="A709">
        <v>130904</v>
      </c>
      <c r="B709" s="2" t="s">
        <v>732</v>
      </c>
      <c r="C709" s="2" t="s">
        <v>252</v>
      </c>
      <c r="D709" s="2" t="s">
        <v>653</v>
      </c>
      <c r="E709" s="4">
        <f t="shared" ref="E709:E714" si="11">SUM(F709:AEZ709)</f>
        <v>0</v>
      </c>
    </row>
    <row r="710" spans="1:5" x14ac:dyDescent="0.25">
      <c r="A710">
        <v>130905</v>
      </c>
      <c r="B710" s="2" t="s">
        <v>732</v>
      </c>
      <c r="C710" s="2" t="s">
        <v>252</v>
      </c>
      <c r="D710" s="2" t="s">
        <v>781</v>
      </c>
      <c r="E710" s="4">
        <f t="shared" si="11"/>
        <v>0</v>
      </c>
    </row>
    <row r="711" spans="1:5" x14ac:dyDescent="0.25">
      <c r="A711">
        <v>130906</v>
      </c>
      <c r="B711" s="2" t="s">
        <v>732</v>
      </c>
      <c r="C711" s="2" t="s">
        <v>252</v>
      </c>
      <c r="D711" s="2" t="s">
        <v>520</v>
      </c>
      <c r="E711" s="4">
        <f t="shared" si="11"/>
        <v>0</v>
      </c>
    </row>
    <row r="712" spans="1:5" x14ac:dyDescent="0.25">
      <c r="A712">
        <v>130907</v>
      </c>
      <c r="B712" s="2" t="s">
        <v>732</v>
      </c>
      <c r="C712" s="2" t="s">
        <v>252</v>
      </c>
      <c r="D712" s="2" t="s">
        <v>782</v>
      </c>
      <c r="E712" s="4">
        <f t="shared" si="11"/>
        <v>0</v>
      </c>
    </row>
    <row r="713" spans="1:5" x14ac:dyDescent="0.25">
      <c r="A713">
        <v>130908</v>
      </c>
      <c r="B713" s="2" t="s">
        <v>732</v>
      </c>
      <c r="C713" s="2" t="s">
        <v>252</v>
      </c>
      <c r="D713" s="2" t="s">
        <v>783</v>
      </c>
      <c r="E713" s="4">
        <f t="shared" si="11"/>
        <v>0</v>
      </c>
    </row>
    <row r="714" spans="1:5" x14ac:dyDescent="0.25">
      <c r="A714">
        <v>130909</v>
      </c>
      <c r="B714" s="2" t="s">
        <v>732</v>
      </c>
      <c r="C714" s="2" t="s">
        <v>252</v>
      </c>
      <c r="D714" s="2" t="s">
        <v>402</v>
      </c>
      <c r="E714" s="4">
        <f t="shared" si="11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00A9-D15F-4137-B6EF-4B148E2C8E1F}">
  <dimension ref="A2:CL16"/>
  <sheetViews>
    <sheetView showGridLines="0" workbookViewId="0">
      <pane xSplit="3" ySplit="3" topLeftCell="D4" activePane="bottomRight" state="frozen"/>
      <selection pane="topRight" activeCell="F1" sqref="F1"/>
      <selection pane="bottomLeft" activeCell="A6" sqref="A6"/>
      <selection pane="bottomRight" activeCell="E13" sqref="E13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9.140625" customWidth="1"/>
    <col min="4" max="25" width="9.28515625" bestFit="1" customWidth="1"/>
    <col min="26" max="34" width="7.7109375" bestFit="1" customWidth="1"/>
    <col min="35" max="55" width="8.7109375" bestFit="1" customWidth="1"/>
    <col min="56" max="64" width="8.5703125" bestFit="1" customWidth="1"/>
    <col min="65" max="86" width="9.5703125" bestFit="1" customWidth="1"/>
    <col min="87" max="90" width="7.7109375" bestFit="1" customWidth="1"/>
  </cols>
  <sheetData>
    <row r="2" spans="1:90" ht="15.75" x14ac:dyDescent="0.25">
      <c r="C2" s="5">
        <f>SUM(Casos_PN6[10-mar])</f>
        <v>0</v>
      </c>
      <c r="D2" s="3">
        <f>SUM(Casos_PN6[10-mar])</f>
        <v>0</v>
      </c>
      <c r="E2" s="3">
        <f>SUM(Casos_PN6[11-mar])</f>
        <v>0</v>
      </c>
      <c r="F2" s="3">
        <f>SUM(Casos_PN6[12-mar])</f>
        <v>0</v>
      </c>
      <c r="G2" s="3">
        <f>SUM(Casos_PN6[13-mar])</f>
        <v>0</v>
      </c>
      <c r="H2" s="3">
        <f>SUM(Casos_PN6[14-mar])</f>
        <v>0</v>
      </c>
      <c r="I2" s="3">
        <f>SUM(Casos_PN6[15-mar])</f>
        <v>0</v>
      </c>
      <c r="J2" s="3">
        <f>SUM(Casos_PN6[16-mar])</f>
        <v>0</v>
      </c>
      <c r="K2" s="3">
        <f>SUM(Casos_PN6[17-mar])</f>
        <v>0</v>
      </c>
      <c r="L2" s="3">
        <f>SUM(Casos_PN6[18-mar])</f>
        <v>0</v>
      </c>
      <c r="M2" s="3">
        <f>SUM(Casos_PN6[19-mar])</f>
        <v>0</v>
      </c>
      <c r="N2" s="3">
        <f>SUM(Casos_PN6[20-mar])</f>
        <v>0</v>
      </c>
      <c r="O2" s="3">
        <f>SUM(Casos_PN6[21-mar])</f>
        <v>0</v>
      </c>
      <c r="P2" s="3">
        <f>SUM(Casos_PN6[22-mar])</f>
        <v>0</v>
      </c>
      <c r="Q2" s="3">
        <f>SUM(Casos_PN6[23-mar])</f>
        <v>0</v>
      </c>
      <c r="R2" s="3">
        <f>SUM(Casos_PN6[24-mar])</f>
        <v>0</v>
      </c>
      <c r="S2" s="3">
        <f>SUM(Casos_PN6[25-mar])</f>
        <v>0</v>
      </c>
      <c r="T2" s="3">
        <f>SUM(Casos_PN6[26-mar])</f>
        <v>0</v>
      </c>
      <c r="U2" s="3">
        <f>SUM(Casos_PN6[27-mar])</f>
        <v>0</v>
      </c>
      <c r="V2" s="3">
        <f>SUM(Casos_PN6[28-mar])</f>
        <v>0</v>
      </c>
      <c r="W2" s="3">
        <f>SUM(Casos_PN6[29-mar])</f>
        <v>0</v>
      </c>
      <c r="X2" s="3">
        <f>SUM(Casos_PN6[30-mar])</f>
        <v>0</v>
      </c>
      <c r="Y2" s="3">
        <f>SUM(Casos_PN6[31-mar])</f>
        <v>0</v>
      </c>
      <c r="Z2" s="3">
        <f>SUM(Casos_PN6[1-abr])</f>
        <v>0</v>
      </c>
      <c r="AA2" s="3">
        <f>SUM(Casos_PN6[2-abr])</f>
        <v>0</v>
      </c>
      <c r="AB2" s="3">
        <f>SUM(Casos_PN6[3-abr])</f>
        <v>0</v>
      </c>
      <c r="AC2" s="3">
        <f>SUM(Casos_PN6[4-abr])</f>
        <v>0</v>
      </c>
      <c r="AD2" s="3">
        <f>SUM(Casos_PN6[5-abr])</f>
        <v>0</v>
      </c>
      <c r="AE2" s="3">
        <f>SUM(Casos_PN6[6-abr])</f>
        <v>0</v>
      </c>
      <c r="AF2" s="3">
        <f>SUM(Casos_PN6[7-abr])</f>
        <v>0</v>
      </c>
      <c r="AG2" s="3">
        <f>SUM(Casos_PN6[8-abr])</f>
        <v>0</v>
      </c>
      <c r="AH2" s="3">
        <f>SUM(Casos_PN6[9-abr])</f>
        <v>0</v>
      </c>
      <c r="AI2" s="3">
        <f>SUM(Casos_PN6[10-abr])</f>
        <v>0</v>
      </c>
      <c r="AJ2" s="3">
        <f>SUM(Casos_PN6[11-abr])</f>
        <v>0</v>
      </c>
      <c r="AK2" s="3">
        <f>SUM(Casos_PN6[12-abr])</f>
        <v>0</v>
      </c>
      <c r="AL2" s="3">
        <f>SUM(Casos_PN6[13-abr])</f>
        <v>3472</v>
      </c>
      <c r="AM2" s="3">
        <f>SUM(Casos_PN6[14-abr])</f>
        <v>3574</v>
      </c>
      <c r="AN2" s="3">
        <f>SUM(Casos_PN6[15-abr])</f>
        <v>3745</v>
      </c>
      <c r="AO2" s="3">
        <f>SUM(Casos_PN6[16-abr])</f>
        <v>4016</v>
      </c>
      <c r="AP2" s="3">
        <f>SUM(Casos_PN6[17-abr])</f>
        <v>4210</v>
      </c>
      <c r="AQ2" s="3">
        <f>SUM(Casos_PN6[18-abr])</f>
        <v>4273</v>
      </c>
      <c r="AR2" s="3">
        <f>SUM(Casos_PN6[19-abr])</f>
        <v>4467</v>
      </c>
      <c r="AS2" s="3">
        <f>SUM(Casos_PN6[20-abr])</f>
        <v>4657</v>
      </c>
      <c r="AT2" s="3">
        <f>SUM(Casos_PN6[21-abr])</f>
        <v>4821</v>
      </c>
      <c r="AU2" s="3">
        <f>SUM(Casos_PN6[22-abr])</f>
        <v>4992</v>
      </c>
      <c r="AV2" s="3">
        <f>SUM(Casos_PN6[23-abr])</f>
        <v>5166</v>
      </c>
      <c r="AW2" s="3">
        <f>SUM(Casos_PN6[24-abr])</f>
        <v>5338</v>
      </c>
      <c r="AX2" s="3">
        <f>SUM(Casos_PN6[25-abr])</f>
        <v>5538</v>
      </c>
      <c r="AY2" s="3">
        <f>SUM(Casos_PN6[26-abr])</f>
        <v>5779</v>
      </c>
      <c r="AZ2" s="3">
        <f>SUM(Casos_PN6[27-abr])</f>
        <v>6021</v>
      </c>
      <c r="BA2" s="3">
        <f>SUM(Casos_PN6[28-abr])</f>
        <v>6196</v>
      </c>
      <c r="BB2" s="3">
        <f>SUM(Casos_PN6[29-abr])</f>
        <v>6378</v>
      </c>
      <c r="BC2" s="3">
        <f>SUM(Casos_PN6[30-abr])</f>
        <v>6532</v>
      </c>
      <c r="BD2" s="3">
        <f>SUM(Casos_PN6[1-may])</f>
        <v>6720</v>
      </c>
      <c r="BE2" s="3">
        <f>SUM(Casos_PN6[2-may])</f>
        <v>7090</v>
      </c>
      <c r="BF2" s="3">
        <f>SUM(Casos_PN6[3-may])</f>
        <v>7197</v>
      </c>
      <c r="BG2" s="3">
        <f>SUM(Casos_PN6[4-may])</f>
        <v>7387</v>
      </c>
      <c r="BH2" s="3">
        <f>SUM(Casos_PN6[5-may])</f>
        <v>7523</v>
      </c>
      <c r="BI2" s="3">
        <f>SUM(Casos_PN6[6-may])</f>
        <v>7731</v>
      </c>
      <c r="BJ2" s="3">
        <f>SUM(Casos_PN6[7-may])</f>
        <v>7868</v>
      </c>
      <c r="BK2" s="3">
        <f>SUM(Casos_PN6[8-may])</f>
        <v>8070</v>
      </c>
      <c r="BL2" s="3">
        <f>SUM(Casos_PN6[9-may])</f>
        <v>8282</v>
      </c>
      <c r="BM2" s="3">
        <f>SUM(Casos_PN6[10-may])</f>
        <v>8448</v>
      </c>
      <c r="BN2" s="3">
        <f>SUM(Casos_PN6[11-may])</f>
        <v>8616</v>
      </c>
      <c r="BO2" s="3">
        <f>SUM(Casos_PN6[12-may])</f>
        <v>8783</v>
      </c>
      <c r="BP2" s="3">
        <f>SUM(Casos_PN6[13-may])</f>
        <v>8944</v>
      </c>
      <c r="BQ2" s="3">
        <f>SUM(Casos_PN6[14-may])</f>
        <v>9118</v>
      </c>
      <c r="BR2" s="3">
        <f>SUM(Casos_PN6[15-may])</f>
        <v>9268</v>
      </c>
      <c r="BS2" s="3">
        <f>SUM(Casos_PN6[16-may])</f>
        <v>9449</v>
      </c>
      <c r="BT2" s="3">
        <f>SUM(Casos_PN6[17-may])</f>
        <v>9606</v>
      </c>
      <c r="BU2" s="3">
        <f>SUM(Casos_PN6[18-may])</f>
        <v>9726</v>
      </c>
      <c r="BV2" s="3">
        <f>SUM(Casos_PN6[19-may])</f>
        <v>9867</v>
      </c>
      <c r="BW2" s="3">
        <f>SUM(Casos_PN6[20-may])</f>
        <v>9977</v>
      </c>
      <c r="BX2" s="3">
        <f>SUM(Casos_PN6[21-may])</f>
        <v>10116</v>
      </c>
      <c r="BY2" s="3">
        <f>SUM(Casos_PN6[22-may])</f>
        <v>10267</v>
      </c>
      <c r="BZ2" s="3">
        <f>SUM(Casos_PN6[23-may])</f>
        <v>10577</v>
      </c>
      <c r="CA2" s="3">
        <f>SUM(Casos_PN6[24-may])</f>
        <v>10926</v>
      </c>
      <c r="CB2" s="3">
        <f>SUM(Casos_PN6[25-may])</f>
        <v>11183</v>
      </c>
      <c r="CC2" s="3">
        <f>SUM(Casos_PN6[26-may])</f>
        <v>11447</v>
      </c>
      <c r="CD2" s="3">
        <f>SUM(Casos_PN6[27-may])</f>
        <v>11728</v>
      </c>
      <c r="CE2" s="3">
        <f>SUM(Casos_PN6[28-may])</f>
        <v>12131</v>
      </c>
      <c r="CF2" s="3">
        <f>SUM(Casos_PN6[29-may])</f>
        <v>12531</v>
      </c>
      <c r="CG2" s="3">
        <f>SUM(Casos_PN6[30-may])</f>
        <v>13018</v>
      </c>
      <c r="CH2" s="3">
        <f>SUM(Casos_PN6[31-may])</f>
        <v>13463</v>
      </c>
      <c r="CI2" s="3">
        <f>SUM(Casos_PN6[1-jun])</f>
        <v>13837</v>
      </c>
      <c r="CJ2" s="3">
        <f>SUM(Casos_PN6[2-jun])</f>
        <v>14095</v>
      </c>
      <c r="CK2" s="3">
        <f>SUM(Casos_PN6[3-jun])</f>
        <v>0</v>
      </c>
      <c r="CL2" s="3">
        <f>SUM(Casos_PN6[4-jun])</f>
        <v>0</v>
      </c>
    </row>
    <row r="3" spans="1:90" s="6" customFormat="1" ht="25.9" customHeight="1" x14ac:dyDescent="0.25">
      <c r="A3" s="6" t="s">
        <v>784</v>
      </c>
      <c r="B3" s="6" t="s">
        <v>1</v>
      </c>
      <c r="C3" s="6" t="s">
        <v>785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64</v>
      </c>
      <c r="BL3" s="7" t="s">
        <v>65</v>
      </c>
      <c r="BM3" s="7" t="s">
        <v>66</v>
      </c>
      <c r="BN3" s="7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  <c r="BV3" s="7" t="s">
        <v>75</v>
      </c>
      <c r="BW3" s="7" t="s">
        <v>76</v>
      </c>
      <c r="BX3" s="7" t="s">
        <v>77</v>
      </c>
      <c r="BY3" s="7" t="s">
        <v>78</v>
      </c>
      <c r="BZ3" s="7" t="s">
        <v>79</v>
      </c>
      <c r="CA3" s="7" t="s">
        <v>80</v>
      </c>
      <c r="CB3" s="7" t="s">
        <v>81</v>
      </c>
      <c r="CC3" s="7" t="s">
        <v>82</v>
      </c>
      <c r="CD3" s="7" t="s">
        <v>83</v>
      </c>
      <c r="CE3" s="7" t="s">
        <v>84</v>
      </c>
      <c r="CF3" s="7" t="s">
        <v>85</v>
      </c>
      <c r="CG3" s="7" t="s">
        <v>86</v>
      </c>
      <c r="CH3" s="7" t="s">
        <v>87</v>
      </c>
      <c r="CI3" s="7" t="s">
        <v>88</v>
      </c>
      <c r="CJ3" s="7" t="s">
        <v>89</v>
      </c>
      <c r="CK3" s="7" t="s">
        <v>90</v>
      </c>
      <c r="CL3" s="7" t="s">
        <v>91</v>
      </c>
    </row>
    <row r="4" spans="1:90" x14ac:dyDescent="0.25">
      <c r="A4">
        <v>1</v>
      </c>
      <c r="B4" s="2" t="s">
        <v>92</v>
      </c>
      <c r="C4" s="4">
        <f>SUM(D4:AEX4)</f>
        <v>3220</v>
      </c>
      <c r="AL4">
        <v>5</v>
      </c>
      <c r="AM4">
        <v>4</v>
      </c>
      <c r="AN4">
        <v>5</v>
      </c>
      <c r="AO4">
        <v>6</v>
      </c>
      <c r="AP4">
        <v>6</v>
      </c>
      <c r="AQ4">
        <v>6</v>
      </c>
      <c r="AR4">
        <v>8</v>
      </c>
      <c r="AS4">
        <v>11</v>
      </c>
      <c r="AT4">
        <v>13</v>
      </c>
      <c r="AU4">
        <v>14</v>
      </c>
      <c r="AV4">
        <v>16</v>
      </c>
      <c r="AW4">
        <v>12</v>
      </c>
      <c r="AX4">
        <v>12</v>
      </c>
      <c r="AY4">
        <v>12</v>
      </c>
      <c r="AZ4">
        <v>12</v>
      </c>
      <c r="BA4">
        <v>18</v>
      </c>
      <c r="BB4">
        <v>19</v>
      </c>
      <c r="BC4">
        <v>19</v>
      </c>
      <c r="BD4">
        <v>21</v>
      </c>
      <c r="BE4">
        <v>25</v>
      </c>
      <c r="BF4">
        <v>39</v>
      </c>
      <c r="BG4">
        <v>38</v>
      </c>
      <c r="BH4">
        <v>38</v>
      </c>
      <c r="BI4">
        <v>38</v>
      </c>
      <c r="BJ4">
        <v>41</v>
      </c>
      <c r="BK4">
        <v>44</v>
      </c>
      <c r="BL4">
        <v>49</v>
      </c>
      <c r="BM4">
        <v>54</v>
      </c>
      <c r="BN4">
        <v>62</v>
      </c>
      <c r="BO4">
        <v>62</v>
      </c>
      <c r="BP4">
        <v>61</v>
      </c>
      <c r="BQ4">
        <v>70</v>
      </c>
      <c r="BR4">
        <v>71</v>
      </c>
      <c r="BS4">
        <v>71</v>
      </c>
      <c r="BT4">
        <v>74</v>
      </c>
      <c r="BU4">
        <v>77</v>
      </c>
      <c r="BV4">
        <v>78</v>
      </c>
      <c r="BW4">
        <v>89</v>
      </c>
      <c r="BX4">
        <v>89</v>
      </c>
      <c r="BY4">
        <v>94</v>
      </c>
      <c r="BZ4">
        <v>103</v>
      </c>
      <c r="CA4">
        <v>117</v>
      </c>
      <c r="CB4">
        <v>125</v>
      </c>
      <c r="CC4">
        <v>129</v>
      </c>
      <c r="CD4">
        <v>136</v>
      </c>
      <c r="CE4">
        <v>145</v>
      </c>
      <c r="CF4">
        <v>164</v>
      </c>
      <c r="CG4">
        <v>182</v>
      </c>
      <c r="CH4">
        <v>190</v>
      </c>
      <c r="CI4">
        <v>222</v>
      </c>
      <c r="CJ4">
        <v>224</v>
      </c>
    </row>
    <row r="5" spans="1:90" x14ac:dyDescent="0.25">
      <c r="A5">
        <v>2</v>
      </c>
      <c r="B5" s="2" t="s">
        <v>116</v>
      </c>
      <c r="C5" s="4">
        <f t="shared" ref="C5:C6" si="0">SUM(D5:AEX5)</f>
        <v>4033</v>
      </c>
      <c r="P5" s="1"/>
      <c r="AL5">
        <v>53</v>
      </c>
      <c r="AM5">
        <v>53</v>
      </c>
      <c r="AN5">
        <v>53</v>
      </c>
      <c r="AO5">
        <v>53</v>
      </c>
      <c r="AP5">
        <v>53</v>
      </c>
      <c r="AQ5">
        <v>52</v>
      </c>
      <c r="AR5">
        <v>54</v>
      </c>
      <c r="AS5">
        <v>55</v>
      </c>
      <c r="AT5">
        <v>56</v>
      </c>
      <c r="AU5">
        <v>56</v>
      </c>
      <c r="AV5">
        <v>58</v>
      </c>
      <c r="AW5">
        <v>65</v>
      </c>
      <c r="AX5">
        <v>68</v>
      </c>
      <c r="AY5">
        <v>75</v>
      </c>
      <c r="AZ5">
        <v>75</v>
      </c>
      <c r="BA5">
        <v>75</v>
      </c>
      <c r="BB5">
        <v>77</v>
      </c>
      <c r="BC5">
        <v>78</v>
      </c>
      <c r="BD5">
        <v>80</v>
      </c>
      <c r="BE5">
        <v>96</v>
      </c>
      <c r="BF5">
        <v>89</v>
      </c>
      <c r="BG5">
        <v>89</v>
      </c>
      <c r="BH5">
        <v>89</v>
      </c>
      <c r="BI5">
        <v>92</v>
      </c>
      <c r="BJ5">
        <v>93</v>
      </c>
      <c r="BK5">
        <v>94</v>
      </c>
      <c r="BL5">
        <v>95</v>
      </c>
      <c r="BM5">
        <v>95</v>
      </c>
      <c r="BN5">
        <v>95</v>
      </c>
      <c r="BO5">
        <v>97</v>
      </c>
      <c r="BP5">
        <v>97</v>
      </c>
      <c r="BQ5">
        <v>79</v>
      </c>
      <c r="BR5">
        <v>79</v>
      </c>
      <c r="BS5">
        <v>79</v>
      </c>
      <c r="BT5">
        <v>81</v>
      </c>
      <c r="BU5">
        <v>82</v>
      </c>
      <c r="BV5">
        <v>82</v>
      </c>
      <c r="BW5">
        <v>85</v>
      </c>
      <c r="BX5">
        <v>85</v>
      </c>
      <c r="BY5">
        <v>88</v>
      </c>
      <c r="BZ5">
        <v>88</v>
      </c>
      <c r="CA5">
        <v>86</v>
      </c>
      <c r="CB5">
        <v>86</v>
      </c>
      <c r="CC5">
        <v>86</v>
      </c>
      <c r="CD5">
        <v>86</v>
      </c>
      <c r="CE5">
        <v>86</v>
      </c>
      <c r="CF5">
        <v>88</v>
      </c>
      <c r="CG5">
        <v>91</v>
      </c>
      <c r="CH5">
        <v>91</v>
      </c>
      <c r="CI5">
        <v>95</v>
      </c>
      <c r="CJ5">
        <v>100</v>
      </c>
    </row>
    <row r="6" spans="1:90" x14ac:dyDescent="0.25">
      <c r="A6">
        <v>3</v>
      </c>
      <c r="B6" s="2" t="s">
        <v>164</v>
      </c>
      <c r="C6" s="4">
        <f t="shared" si="0"/>
        <v>15609</v>
      </c>
      <c r="P6" s="1"/>
      <c r="AL6">
        <v>82</v>
      </c>
      <c r="AM6">
        <v>85</v>
      </c>
      <c r="AN6">
        <v>87</v>
      </c>
      <c r="AO6">
        <v>96</v>
      </c>
      <c r="AP6">
        <v>109</v>
      </c>
      <c r="AQ6">
        <v>112</v>
      </c>
      <c r="AR6">
        <v>116</v>
      </c>
      <c r="AS6">
        <v>129</v>
      </c>
      <c r="AT6">
        <v>134</v>
      </c>
      <c r="AU6">
        <v>153</v>
      </c>
      <c r="AV6">
        <v>170</v>
      </c>
      <c r="AW6">
        <v>176</v>
      </c>
      <c r="AX6">
        <v>189</v>
      </c>
      <c r="AY6">
        <v>216</v>
      </c>
      <c r="AZ6">
        <v>240</v>
      </c>
      <c r="BA6">
        <v>254</v>
      </c>
      <c r="BB6">
        <v>260</v>
      </c>
      <c r="BC6">
        <v>272</v>
      </c>
      <c r="BD6">
        <v>274</v>
      </c>
      <c r="BE6">
        <v>308</v>
      </c>
      <c r="BF6">
        <v>314</v>
      </c>
      <c r="BG6">
        <v>321</v>
      </c>
      <c r="BH6">
        <v>326</v>
      </c>
      <c r="BI6">
        <v>331</v>
      </c>
      <c r="BJ6">
        <v>335</v>
      </c>
      <c r="BK6">
        <v>337</v>
      </c>
      <c r="BL6">
        <v>344</v>
      </c>
      <c r="BM6">
        <v>346</v>
      </c>
      <c r="BN6">
        <v>353</v>
      </c>
      <c r="BO6">
        <v>359</v>
      </c>
      <c r="BP6">
        <v>361</v>
      </c>
      <c r="BQ6">
        <v>381</v>
      </c>
      <c r="BR6">
        <v>383</v>
      </c>
      <c r="BS6">
        <v>385</v>
      </c>
      <c r="BT6">
        <v>392</v>
      </c>
      <c r="BU6">
        <v>392</v>
      </c>
      <c r="BV6">
        <v>392</v>
      </c>
      <c r="BW6">
        <v>394</v>
      </c>
      <c r="BX6">
        <v>398</v>
      </c>
      <c r="BY6">
        <v>399</v>
      </c>
      <c r="BZ6">
        <v>405</v>
      </c>
      <c r="CA6">
        <v>413</v>
      </c>
      <c r="CB6">
        <v>417</v>
      </c>
      <c r="CC6">
        <v>425</v>
      </c>
      <c r="CD6">
        <v>435</v>
      </c>
      <c r="CE6">
        <v>440</v>
      </c>
      <c r="CF6">
        <v>452</v>
      </c>
      <c r="CG6">
        <v>463</v>
      </c>
      <c r="CH6">
        <v>475</v>
      </c>
      <c r="CI6">
        <v>486</v>
      </c>
      <c r="CJ6">
        <v>493</v>
      </c>
    </row>
    <row r="7" spans="1:90" x14ac:dyDescent="0.25">
      <c r="A7">
        <v>4</v>
      </c>
      <c r="B7" s="2" t="s">
        <v>205</v>
      </c>
      <c r="C7" s="4">
        <f t="shared" ref="C7" si="1">SUM(D7:AEX7)</f>
        <v>8998</v>
      </c>
      <c r="AL7">
        <v>70</v>
      </c>
      <c r="AM7">
        <v>73</v>
      </c>
      <c r="AN7">
        <v>79</v>
      </c>
      <c r="AO7">
        <v>78</v>
      </c>
      <c r="AP7">
        <v>80</v>
      </c>
      <c r="AQ7">
        <v>83</v>
      </c>
      <c r="AR7">
        <v>86</v>
      </c>
      <c r="AS7">
        <v>94</v>
      </c>
      <c r="AT7">
        <v>95</v>
      </c>
      <c r="AU7">
        <v>96</v>
      </c>
      <c r="AV7">
        <v>98</v>
      </c>
      <c r="AW7">
        <v>99</v>
      </c>
      <c r="AX7">
        <v>99</v>
      </c>
      <c r="AY7">
        <v>101</v>
      </c>
      <c r="AZ7">
        <v>102</v>
      </c>
      <c r="BA7">
        <v>102</v>
      </c>
      <c r="BB7">
        <v>102</v>
      </c>
      <c r="BC7">
        <v>103</v>
      </c>
      <c r="BD7">
        <v>103</v>
      </c>
      <c r="BE7">
        <v>112</v>
      </c>
      <c r="BF7">
        <v>104</v>
      </c>
      <c r="BG7">
        <v>105</v>
      </c>
      <c r="BH7">
        <v>105</v>
      </c>
      <c r="BI7">
        <v>112</v>
      </c>
      <c r="BJ7">
        <v>112</v>
      </c>
      <c r="BK7">
        <v>117</v>
      </c>
      <c r="BL7">
        <v>120</v>
      </c>
      <c r="BM7">
        <v>129</v>
      </c>
      <c r="BN7">
        <v>135</v>
      </c>
      <c r="BO7">
        <v>139</v>
      </c>
      <c r="BP7">
        <v>155</v>
      </c>
      <c r="BQ7">
        <v>176</v>
      </c>
      <c r="BR7">
        <v>191</v>
      </c>
      <c r="BS7">
        <v>207</v>
      </c>
      <c r="BT7">
        <v>220</v>
      </c>
      <c r="BU7">
        <v>243</v>
      </c>
      <c r="BV7">
        <v>273</v>
      </c>
      <c r="BW7">
        <v>276</v>
      </c>
      <c r="BX7">
        <v>293</v>
      </c>
      <c r="BY7">
        <v>296</v>
      </c>
      <c r="BZ7">
        <v>300</v>
      </c>
      <c r="CA7">
        <v>304</v>
      </c>
      <c r="CB7">
        <v>306</v>
      </c>
      <c r="CC7">
        <v>309</v>
      </c>
      <c r="CD7">
        <v>314</v>
      </c>
      <c r="CE7">
        <v>321</v>
      </c>
      <c r="CF7">
        <v>331</v>
      </c>
      <c r="CG7">
        <v>337</v>
      </c>
      <c r="CH7">
        <v>350</v>
      </c>
      <c r="CI7">
        <v>380</v>
      </c>
      <c r="CJ7">
        <v>383</v>
      </c>
    </row>
    <row r="8" spans="1:90" x14ac:dyDescent="0.25">
      <c r="A8">
        <v>5</v>
      </c>
      <c r="B8" s="2" t="s">
        <v>301</v>
      </c>
      <c r="C8" s="4">
        <f t="shared" ref="C8:C9" si="2">SUM(D8:AEX8)</f>
        <v>8637</v>
      </c>
      <c r="AL8">
        <v>90</v>
      </c>
      <c r="AM8">
        <v>104</v>
      </c>
      <c r="AN8">
        <v>111</v>
      </c>
      <c r="AO8">
        <v>115</v>
      </c>
      <c r="AP8">
        <v>115</v>
      </c>
      <c r="AQ8">
        <v>116</v>
      </c>
      <c r="AR8">
        <v>116</v>
      </c>
      <c r="AS8">
        <v>116</v>
      </c>
      <c r="AT8">
        <v>120</v>
      </c>
      <c r="AU8">
        <v>127</v>
      </c>
      <c r="AV8">
        <v>131</v>
      </c>
      <c r="AW8">
        <v>134</v>
      </c>
      <c r="AX8">
        <v>138</v>
      </c>
      <c r="AY8">
        <v>141</v>
      </c>
      <c r="AZ8">
        <v>143</v>
      </c>
      <c r="BA8">
        <v>145</v>
      </c>
      <c r="BB8">
        <v>147</v>
      </c>
      <c r="BC8">
        <v>147</v>
      </c>
      <c r="BD8">
        <v>149</v>
      </c>
      <c r="BE8">
        <v>167</v>
      </c>
      <c r="BF8">
        <v>162</v>
      </c>
      <c r="BG8">
        <v>168</v>
      </c>
      <c r="BH8">
        <v>169</v>
      </c>
      <c r="BI8">
        <v>180</v>
      </c>
      <c r="BJ8">
        <v>183</v>
      </c>
      <c r="BK8">
        <v>183</v>
      </c>
      <c r="BL8">
        <v>183</v>
      </c>
      <c r="BM8">
        <v>183</v>
      </c>
      <c r="BN8">
        <v>188</v>
      </c>
      <c r="BO8">
        <v>193</v>
      </c>
      <c r="BP8">
        <v>194</v>
      </c>
      <c r="BQ8">
        <v>195</v>
      </c>
      <c r="BR8">
        <v>197</v>
      </c>
      <c r="BS8">
        <v>197</v>
      </c>
      <c r="BT8">
        <v>197</v>
      </c>
      <c r="BU8">
        <v>200</v>
      </c>
      <c r="BV8">
        <v>201</v>
      </c>
      <c r="BW8">
        <v>202</v>
      </c>
      <c r="BX8">
        <v>204</v>
      </c>
      <c r="BY8">
        <v>204</v>
      </c>
      <c r="BZ8">
        <v>205</v>
      </c>
      <c r="CA8">
        <v>204</v>
      </c>
      <c r="CB8">
        <v>204</v>
      </c>
      <c r="CC8">
        <v>204</v>
      </c>
      <c r="CD8">
        <v>201</v>
      </c>
      <c r="CE8">
        <v>203</v>
      </c>
      <c r="CF8">
        <v>203</v>
      </c>
      <c r="CG8">
        <v>209</v>
      </c>
      <c r="CH8">
        <v>211</v>
      </c>
      <c r="CI8">
        <v>211</v>
      </c>
      <c r="CJ8">
        <v>227</v>
      </c>
    </row>
    <row r="9" spans="1:90" x14ac:dyDescent="0.25">
      <c r="A9">
        <v>6</v>
      </c>
      <c r="B9" s="2" t="s">
        <v>321</v>
      </c>
      <c r="C9" s="4">
        <f t="shared" si="2"/>
        <v>912</v>
      </c>
      <c r="AL9">
        <v>11</v>
      </c>
      <c r="AM9">
        <v>12</v>
      </c>
      <c r="AN9">
        <v>12</v>
      </c>
      <c r="AO9">
        <v>13</v>
      </c>
      <c r="AP9">
        <v>13</v>
      </c>
      <c r="AQ9">
        <v>14</v>
      </c>
      <c r="AR9">
        <v>15</v>
      </c>
      <c r="AS9">
        <v>15</v>
      </c>
      <c r="AT9">
        <v>16</v>
      </c>
      <c r="AU9">
        <v>16</v>
      </c>
      <c r="AV9">
        <v>16</v>
      </c>
      <c r="AW9">
        <v>16</v>
      </c>
      <c r="AX9">
        <v>15</v>
      </c>
      <c r="AY9">
        <v>16</v>
      </c>
      <c r="AZ9">
        <v>17</v>
      </c>
      <c r="BA9">
        <v>18</v>
      </c>
      <c r="BB9">
        <v>20</v>
      </c>
      <c r="BC9">
        <v>20</v>
      </c>
      <c r="BD9">
        <v>20</v>
      </c>
      <c r="BE9">
        <v>21</v>
      </c>
      <c r="BF9">
        <v>21</v>
      </c>
      <c r="BG9">
        <v>22</v>
      </c>
      <c r="BH9">
        <v>22</v>
      </c>
      <c r="BI9">
        <v>22</v>
      </c>
      <c r="BJ9">
        <v>22</v>
      </c>
      <c r="BK9">
        <v>22</v>
      </c>
      <c r="BL9">
        <v>22</v>
      </c>
      <c r="BM9">
        <v>23</v>
      </c>
      <c r="BN9">
        <v>23</v>
      </c>
      <c r="BO9">
        <v>23</v>
      </c>
      <c r="BP9">
        <v>20</v>
      </c>
      <c r="BQ9">
        <v>20</v>
      </c>
      <c r="BR9">
        <v>20</v>
      </c>
      <c r="BS9">
        <v>21</v>
      </c>
      <c r="BT9">
        <v>21</v>
      </c>
      <c r="BU9">
        <v>21</v>
      </c>
      <c r="BV9">
        <v>21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17</v>
      </c>
      <c r="CG9">
        <v>17</v>
      </c>
      <c r="CH9">
        <v>17</v>
      </c>
      <c r="CI9">
        <v>17</v>
      </c>
      <c r="CJ9">
        <v>18</v>
      </c>
    </row>
    <row r="10" spans="1:90" x14ac:dyDescent="0.25">
      <c r="A10">
        <v>7</v>
      </c>
      <c r="B10" s="2" t="s">
        <v>374</v>
      </c>
      <c r="C10" s="4">
        <f t="shared" ref="C10" si="3">SUM(D10:AEX10)</f>
        <v>695</v>
      </c>
      <c r="AL10">
        <v>3</v>
      </c>
      <c r="AM10">
        <v>3</v>
      </c>
      <c r="AN10">
        <v>3</v>
      </c>
      <c r="AO10">
        <v>5</v>
      </c>
      <c r="AP10">
        <v>6</v>
      </c>
      <c r="AQ10">
        <v>6</v>
      </c>
      <c r="AR10">
        <v>7</v>
      </c>
      <c r="AS10">
        <v>7</v>
      </c>
      <c r="AT10">
        <v>7</v>
      </c>
      <c r="AU10">
        <v>8</v>
      </c>
      <c r="AV10">
        <v>9</v>
      </c>
      <c r="AW10">
        <v>8</v>
      </c>
      <c r="AX10">
        <v>9</v>
      </c>
      <c r="AY10">
        <v>9</v>
      </c>
      <c r="AZ10">
        <v>9</v>
      </c>
      <c r="BA10">
        <v>14</v>
      </c>
      <c r="BB10">
        <v>14</v>
      </c>
      <c r="BC10">
        <v>14</v>
      </c>
      <c r="BD10">
        <v>14</v>
      </c>
      <c r="BE10">
        <v>16</v>
      </c>
      <c r="BF10">
        <v>16</v>
      </c>
      <c r="BG10">
        <v>16</v>
      </c>
      <c r="BH10">
        <v>16</v>
      </c>
      <c r="BI10">
        <v>16</v>
      </c>
      <c r="BJ10">
        <v>16</v>
      </c>
      <c r="BK10">
        <v>16</v>
      </c>
      <c r="BL10">
        <v>16</v>
      </c>
      <c r="BM10">
        <v>16</v>
      </c>
      <c r="BN10">
        <v>16</v>
      </c>
      <c r="BO10">
        <v>16</v>
      </c>
      <c r="BP10">
        <v>17</v>
      </c>
      <c r="BQ10">
        <v>16</v>
      </c>
      <c r="BR10">
        <v>16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19</v>
      </c>
      <c r="CJ10">
        <v>19</v>
      </c>
    </row>
    <row r="11" spans="1:90" x14ac:dyDescent="0.25">
      <c r="A11">
        <v>8</v>
      </c>
      <c r="B11" s="2" t="s">
        <v>451</v>
      </c>
      <c r="C11" s="4">
        <f t="shared" ref="C11" si="4">SUM(D11:AEX11)</f>
        <v>263729</v>
      </c>
      <c r="AL11">
        <v>2257</v>
      </c>
      <c r="AM11">
        <v>2320</v>
      </c>
      <c r="AN11">
        <v>2434</v>
      </c>
      <c r="AO11">
        <v>2649</v>
      </c>
      <c r="AP11">
        <v>2771</v>
      </c>
      <c r="AQ11">
        <v>2820</v>
      </c>
      <c r="AR11">
        <v>2951</v>
      </c>
      <c r="AS11">
        <v>3079</v>
      </c>
      <c r="AT11">
        <v>3176</v>
      </c>
      <c r="AU11">
        <v>3254</v>
      </c>
      <c r="AV11">
        <v>3358</v>
      </c>
      <c r="AW11">
        <v>3445</v>
      </c>
      <c r="AX11">
        <v>3571</v>
      </c>
      <c r="AY11">
        <v>3706</v>
      </c>
      <c r="AZ11">
        <v>3849</v>
      </c>
      <c r="BA11">
        <v>3967</v>
      </c>
      <c r="BB11">
        <v>4079</v>
      </c>
      <c r="BC11">
        <v>4172</v>
      </c>
      <c r="BD11">
        <v>4307</v>
      </c>
      <c r="BE11">
        <v>4498</v>
      </c>
      <c r="BF11">
        <v>4572</v>
      </c>
      <c r="BG11">
        <v>4687</v>
      </c>
      <c r="BH11">
        <v>4782</v>
      </c>
      <c r="BI11">
        <v>4908</v>
      </c>
      <c r="BJ11">
        <v>4999</v>
      </c>
      <c r="BK11">
        <v>5140</v>
      </c>
      <c r="BL11">
        <v>5277</v>
      </c>
      <c r="BM11">
        <v>5385</v>
      </c>
      <c r="BN11">
        <v>5476</v>
      </c>
      <c r="BO11">
        <v>5587</v>
      </c>
      <c r="BP11">
        <v>5695</v>
      </c>
      <c r="BQ11">
        <v>5806</v>
      </c>
      <c r="BR11">
        <v>5906</v>
      </c>
      <c r="BS11">
        <v>6015</v>
      </c>
      <c r="BT11">
        <v>6114</v>
      </c>
      <c r="BU11">
        <v>6181</v>
      </c>
      <c r="BV11">
        <v>6258</v>
      </c>
      <c r="BW11">
        <v>6324</v>
      </c>
      <c r="BX11">
        <v>6406</v>
      </c>
      <c r="BY11">
        <v>6516</v>
      </c>
      <c r="BZ11">
        <v>6747</v>
      </c>
      <c r="CA11">
        <v>6883</v>
      </c>
      <c r="CB11">
        <v>7013</v>
      </c>
      <c r="CC11">
        <v>7207</v>
      </c>
      <c r="CD11">
        <v>7351</v>
      </c>
      <c r="CE11">
        <v>7621</v>
      </c>
      <c r="CF11">
        <v>7873</v>
      </c>
      <c r="CG11">
        <v>8206</v>
      </c>
      <c r="CH11">
        <v>8525</v>
      </c>
      <c r="CI11">
        <v>8714</v>
      </c>
      <c r="CJ11">
        <v>8892</v>
      </c>
    </row>
    <row r="12" spans="1:90" x14ac:dyDescent="0.25">
      <c r="A12">
        <v>9</v>
      </c>
      <c r="B12" s="2" t="s">
        <v>508</v>
      </c>
      <c r="C12" s="4">
        <f t="shared" ref="C12" si="5">SUM(D12:AEX12)</f>
        <v>18407</v>
      </c>
      <c r="AL12">
        <v>151</v>
      </c>
      <c r="AM12">
        <v>152</v>
      </c>
      <c r="AN12">
        <v>156</v>
      </c>
      <c r="AO12">
        <v>156</v>
      </c>
      <c r="AP12">
        <v>166</v>
      </c>
      <c r="AQ12">
        <v>166</v>
      </c>
      <c r="AR12">
        <v>169</v>
      </c>
      <c r="AS12">
        <v>171</v>
      </c>
      <c r="AT12">
        <v>180</v>
      </c>
      <c r="AU12">
        <v>200</v>
      </c>
      <c r="AV12">
        <v>208</v>
      </c>
      <c r="AW12">
        <v>240</v>
      </c>
      <c r="AX12">
        <v>240</v>
      </c>
      <c r="AY12">
        <v>252</v>
      </c>
      <c r="AZ12">
        <v>258</v>
      </c>
      <c r="BA12">
        <v>262</v>
      </c>
      <c r="BB12">
        <v>271</v>
      </c>
      <c r="BC12">
        <v>272</v>
      </c>
      <c r="BD12">
        <v>277</v>
      </c>
      <c r="BE12">
        <v>307</v>
      </c>
      <c r="BF12">
        <v>310</v>
      </c>
      <c r="BG12">
        <v>322</v>
      </c>
      <c r="BH12">
        <v>324</v>
      </c>
      <c r="BI12">
        <v>324</v>
      </c>
      <c r="BJ12">
        <v>328</v>
      </c>
      <c r="BK12">
        <v>330</v>
      </c>
      <c r="BL12">
        <v>334</v>
      </c>
      <c r="BM12">
        <v>349</v>
      </c>
      <c r="BN12">
        <v>355</v>
      </c>
      <c r="BO12">
        <v>356</v>
      </c>
      <c r="BP12">
        <v>358</v>
      </c>
      <c r="BQ12">
        <v>364</v>
      </c>
      <c r="BR12">
        <v>366</v>
      </c>
      <c r="BS12">
        <v>381</v>
      </c>
      <c r="BT12">
        <v>382</v>
      </c>
      <c r="BU12">
        <v>384</v>
      </c>
      <c r="BV12">
        <v>391</v>
      </c>
      <c r="BW12">
        <v>399</v>
      </c>
      <c r="BX12">
        <v>400</v>
      </c>
      <c r="BY12">
        <v>400</v>
      </c>
      <c r="BZ12">
        <v>407</v>
      </c>
      <c r="CA12">
        <v>537</v>
      </c>
      <c r="CB12">
        <v>580</v>
      </c>
      <c r="CC12">
        <v>587</v>
      </c>
      <c r="CD12">
        <v>630</v>
      </c>
      <c r="CE12">
        <v>681</v>
      </c>
      <c r="CF12">
        <v>691</v>
      </c>
      <c r="CG12">
        <v>704</v>
      </c>
      <c r="CH12">
        <v>710</v>
      </c>
      <c r="CI12">
        <v>727</v>
      </c>
      <c r="CJ12">
        <v>742</v>
      </c>
    </row>
    <row r="13" spans="1:90" ht="24" x14ac:dyDescent="0.25">
      <c r="A13">
        <v>10</v>
      </c>
      <c r="B13" s="2" t="s">
        <v>596</v>
      </c>
      <c r="C13" s="4">
        <f t="shared" ref="C13" si="6">SUM(D13:AEX13)</f>
        <v>7884</v>
      </c>
      <c r="AL13">
        <v>18</v>
      </c>
      <c r="AM13">
        <v>18</v>
      </c>
      <c r="AN13">
        <v>23</v>
      </c>
      <c r="AO13">
        <v>29</v>
      </c>
      <c r="AP13">
        <v>29</v>
      </c>
      <c r="AQ13">
        <v>29</v>
      </c>
      <c r="AR13">
        <v>40</v>
      </c>
      <c r="AS13">
        <v>42</v>
      </c>
      <c r="AT13">
        <v>44</v>
      </c>
      <c r="AU13">
        <v>57</v>
      </c>
      <c r="AV13">
        <v>57</v>
      </c>
      <c r="AW13">
        <v>74</v>
      </c>
      <c r="AX13">
        <v>83</v>
      </c>
      <c r="AY13">
        <v>84</v>
      </c>
      <c r="AZ13">
        <v>97</v>
      </c>
      <c r="BA13">
        <v>99</v>
      </c>
      <c r="BB13">
        <v>106</v>
      </c>
      <c r="BC13">
        <v>131</v>
      </c>
      <c r="BD13">
        <v>138</v>
      </c>
      <c r="BE13">
        <v>151</v>
      </c>
      <c r="BF13">
        <v>151</v>
      </c>
      <c r="BG13">
        <v>164</v>
      </c>
      <c r="BH13">
        <v>165</v>
      </c>
      <c r="BI13">
        <v>177</v>
      </c>
      <c r="BJ13">
        <v>178</v>
      </c>
      <c r="BK13">
        <v>180</v>
      </c>
      <c r="BL13">
        <v>187</v>
      </c>
      <c r="BM13">
        <v>193</v>
      </c>
      <c r="BN13">
        <v>196</v>
      </c>
      <c r="BO13">
        <v>196</v>
      </c>
      <c r="BP13">
        <v>202</v>
      </c>
      <c r="BQ13">
        <v>205</v>
      </c>
      <c r="BR13">
        <v>207</v>
      </c>
      <c r="BS13">
        <v>215</v>
      </c>
      <c r="BT13">
        <v>220</v>
      </c>
      <c r="BU13">
        <v>221</v>
      </c>
      <c r="BV13">
        <v>221</v>
      </c>
      <c r="BW13">
        <v>225</v>
      </c>
      <c r="BX13">
        <v>227</v>
      </c>
      <c r="BY13">
        <v>227</v>
      </c>
      <c r="BZ13">
        <v>227</v>
      </c>
      <c r="CA13">
        <v>230</v>
      </c>
      <c r="CB13">
        <v>230</v>
      </c>
      <c r="CC13">
        <v>231</v>
      </c>
      <c r="CD13">
        <v>231</v>
      </c>
      <c r="CE13">
        <v>231</v>
      </c>
      <c r="CF13">
        <v>233</v>
      </c>
      <c r="CG13">
        <v>261</v>
      </c>
      <c r="CH13">
        <v>233</v>
      </c>
      <c r="CI13">
        <v>236</v>
      </c>
      <c r="CJ13">
        <v>235</v>
      </c>
    </row>
    <row r="14" spans="1:90" ht="24" x14ac:dyDescent="0.25">
      <c r="A14">
        <v>11</v>
      </c>
      <c r="B14" s="2" t="s">
        <v>601</v>
      </c>
      <c r="C14" s="4">
        <f t="shared" ref="C14:C15" si="7">SUM(D14:AEX14)</f>
        <v>0</v>
      </c>
    </row>
    <row r="15" spans="1:90" ht="24" x14ac:dyDescent="0.25">
      <c r="A15">
        <v>12</v>
      </c>
      <c r="B15" s="2" t="s">
        <v>608</v>
      </c>
      <c r="C15" s="4">
        <f t="shared" si="7"/>
        <v>2240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3</v>
      </c>
      <c r="AV15">
        <v>3</v>
      </c>
      <c r="AW15">
        <v>5</v>
      </c>
      <c r="AX15">
        <v>5</v>
      </c>
      <c r="AY15">
        <v>9</v>
      </c>
      <c r="AZ15">
        <v>9</v>
      </c>
      <c r="BA15">
        <v>9</v>
      </c>
      <c r="BB15">
        <v>13</v>
      </c>
      <c r="BC15">
        <v>12</v>
      </c>
      <c r="BD15">
        <v>12</v>
      </c>
      <c r="BE15">
        <v>14</v>
      </c>
      <c r="BF15">
        <v>14</v>
      </c>
      <c r="BG15">
        <v>22</v>
      </c>
      <c r="BH15">
        <v>34</v>
      </c>
      <c r="BI15">
        <v>40</v>
      </c>
      <c r="BJ15">
        <v>49</v>
      </c>
      <c r="BK15">
        <v>49</v>
      </c>
      <c r="BL15">
        <v>60</v>
      </c>
      <c r="BM15">
        <v>60</v>
      </c>
      <c r="BN15">
        <v>63</v>
      </c>
      <c r="BO15">
        <v>69</v>
      </c>
      <c r="BP15">
        <v>69</v>
      </c>
      <c r="BQ15">
        <v>70</v>
      </c>
      <c r="BR15">
        <v>71</v>
      </c>
      <c r="BS15">
        <v>72</v>
      </c>
      <c r="BT15">
        <v>75</v>
      </c>
      <c r="BU15">
        <v>76</v>
      </c>
      <c r="BV15">
        <v>77</v>
      </c>
      <c r="BW15">
        <v>79</v>
      </c>
      <c r="BX15">
        <v>79</v>
      </c>
      <c r="BY15">
        <v>79</v>
      </c>
      <c r="BZ15">
        <v>79</v>
      </c>
      <c r="CA15">
        <v>79</v>
      </c>
      <c r="CB15">
        <v>78</v>
      </c>
      <c r="CC15">
        <v>81</v>
      </c>
      <c r="CD15">
        <v>81</v>
      </c>
      <c r="CE15">
        <v>81</v>
      </c>
      <c r="CF15">
        <v>84</v>
      </c>
      <c r="CG15">
        <v>85</v>
      </c>
      <c r="CH15">
        <v>85</v>
      </c>
      <c r="CI15">
        <v>94</v>
      </c>
      <c r="CJ15">
        <v>94</v>
      </c>
    </row>
    <row r="16" spans="1:90" x14ac:dyDescent="0.25">
      <c r="A16">
        <v>13</v>
      </c>
      <c r="B16" s="2" t="s">
        <v>732</v>
      </c>
      <c r="C16" s="4">
        <f t="shared" ref="C16" si="8">SUM(D16:AEX16)</f>
        <v>79800</v>
      </c>
      <c r="AL16">
        <v>730</v>
      </c>
      <c r="AM16">
        <v>748</v>
      </c>
      <c r="AN16">
        <v>780</v>
      </c>
      <c r="AO16">
        <v>814</v>
      </c>
      <c r="AP16">
        <v>860</v>
      </c>
      <c r="AQ16">
        <v>867</v>
      </c>
      <c r="AR16">
        <v>903</v>
      </c>
      <c r="AS16">
        <v>936</v>
      </c>
      <c r="AT16">
        <v>978</v>
      </c>
      <c r="AU16">
        <v>1008</v>
      </c>
      <c r="AV16">
        <v>1042</v>
      </c>
      <c r="AW16">
        <v>1064</v>
      </c>
      <c r="AX16">
        <v>1109</v>
      </c>
      <c r="AY16">
        <v>1158</v>
      </c>
      <c r="AZ16">
        <v>1210</v>
      </c>
      <c r="BA16">
        <v>1233</v>
      </c>
      <c r="BB16">
        <v>1270</v>
      </c>
      <c r="BC16">
        <v>1292</v>
      </c>
      <c r="BD16">
        <v>1325</v>
      </c>
      <c r="BE16">
        <v>1375</v>
      </c>
      <c r="BF16">
        <v>1405</v>
      </c>
      <c r="BG16">
        <v>1433</v>
      </c>
      <c r="BH16">
        <v>1453</v>
      </c>
      <c r="BI16">
        <v>1491</v>
      </c>
      <c r="BJ16">
        <v>1512</v>
      </c>
      <c r="BK16">
        <v>1558</v>
      </c>
      <c r="BL16">
        <v>1595</v>
      </c>
      <c r="BM16">
        <v>1615</v>
      </c>
      <c r="BN16">
        <v>1654</v>
      </c>
      <c r="BO16">
        <v>1686</v>
      </c>
      <c r="BP16">
        <v>1715</v>
      </c>
      <c r="BQ16">
        <v>1736</v>
      </c>
      <c r="BR16">
        <v>1761</v>
      </c>
      <c r="BS16">
        <v>1789</v>
      </c>
      <c r="BT16">
        <v>1813</v>
      </c>
      <c r="BU16">
        <v>1832</v>
      </c>
      <c r="BV16">
        <v>1856</v>
      </c>
      <c r="BW16">
        <v>1871</v>
      </c>
      <c r="BX16">
        <v>1902</v>
      </c>
      <c r="BY16">
        <v>1931</v>
      </c>
      <c r="BZ16">
        <v>1983</v>
      </c>
      <c r="CA16">
        <v>2040</v>
      </c>
      <c r="CB16">
        <v>2111</v>
      </c>
      <c r="CC16">
        <v>2155</v>
      </c>
      <c r="CD16">
        <v>2229</v>
      </c>
      <c r="CE16">
        <v>2288</v>
      </c>
      <c r="CF16">
        <v>2377</v>
      </c>
      <c r="CG16">
        <v>2445</v>
      </c>
      <c r="CH16">
        <v>2558</v>
      </c>
      <c r="CI16">
        <v>2636</v>
      </c>
      <c r="CJ16">
        <v>2668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610-CE9B-4EBB-9122-0CBBCAAD4D04}">
  <dimension ref="A2:CN714"/>
  <sheetViews>
    <sheetView showGridLines="0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CL4" sqref="CL4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75" x14ac:dyDescent="0.25">
      <c r="E2" s="5">
        <f>SUM(Muertes_PN[10-mar])</f>
        <v>0</v>
      </c>
      <c r="F2" s="3">
        <f>SUM(Muertes_PN[10-mar])</f>
        <v>0</v>
      </c>
      <c r="G2" s="3">
        <f>SUM(Muertes_PN[11-mar])</f>
        <v>0</v>
      </c>
      <c r="H2" s="3">
        <f>SUM(Muertes_PN[12-mar])</f>
        <v>0</v>
      </c>
      <c r="I2" s="3">
        <f>SUM(Muertes_PN[13-mar])</f>
        <v>0</v>
      </c>
      <c r="J2" s="3">
        <f>SUM(Muertes_PN[14-mar])</f>
        <v>0</v>
      </c>
      <c r="K2" s="3">
        <f>SUM(Muertes_PN[15-mar])</f>
        <v>0</v>
      </c>
      <c r="L2" s="3">
        <f>SUM(Muertes_PN[16-mar])</f>
        <v>0</v>
      </c>
      <c r="M2" s="3">
        <f>SUM(Muertes_PN[17-mar])</f>
        <v>0</v>
      </c>
      <c r="N2" s="3">
        <f>SUM(Muertes_PN[18-mar])</f>
        <v>0</v>
      </c>
      <c r="O2" s="3">
        <f>SUM(Muertes_PN[19-mar])</f>
        <v>0</v>
      </c>
      <c r="P2" s="3">
        <f>SUM(Muertes_PN[20-mar])</f>
        <v>0</v>
      </c>
      <c r="Q2" s="3">
        <f>SUM(Muertes_PN[21-mar])</f>
        <v>0</v>
      </c>
      <c r="R2" s="3">
        <f>SUM(Muertes_PN[22-mar])</f>
        <v>0</v>
      </c>
      <c r="S2" s="3">
        <f>SUM(Muertes_PN[23-mar])</f>
        <v>0</v>
      </c>
      <c r="T2" s="3">
        <f>SUM(Muertes_PN[24-mar])</f>
        <v>0</v>
      </c>
      <c r="U2" s="3">
        <f>SUM(Muertes_PN[25-mar])</f>
        <v>0</v>
      </c>
      <c r="V2" s="3">
        <f>SUM(Muertes_PN[26-mar])</f>
        <v>0</v>
      </c>
      <c r="W2" s="3">
        <f>SUM(Muertes_PN[27-mar])</f>
        <v>0</v>
      </c>
      <c r="X2" s="3">
        <f>SUM(Muertes_PN[28-mar])</f>
        <v>0</v>
      </c>
      <c r="Y2" s="3">
        <f>SUM(Muertes_PN[29-mar])</f>
        <v>0</v>
      </c>
      <c r="Z2" s="3">
        <f>SUM(Muertes_PN[30-mar])</f>
        <v>0</v>
      </c>
      <c r="AA2" s="3">
        <f>SUM(Muertes_PN[31-mar])</f>
        <v>0</v>
      </c>
      <c r="AB2" s="3">
        <f>SUM(Muertes_PN[1-abr])</f>
        <v>0</v>
      </c>
      <c r="AC2" s="3">
        <f>SUM(Muertes_PN[2-abr])</f>
        <v>0</v>
      </c>
      <c r="AD2" s="3">
        <f>SUM(Muertes_PN[3-abr])</f>
        <v>0</v>
      </c>
      <c r="AE2" s="3">
        <f>SUM(Muertes_PN[4-abr])</f>
        <v>0</v>
      </c>
      <c r="AF2" s="3">
        <f>SUM(Muertes_PN[5-abr])</f>
        <v>0</v>
      </c>
      <c r="AG2" s="3">
        <f>SUM(Muertes_PN[6-abr])</f>
        <v>0</v>
      </c>
      <c r="AH2" s="3">
        <f>SUM(Muertes_PN[7-abr])</f>
        <v>0</v>
      </c>
      <c r="AI2" s="3">
        <f>SUM(Muertes_PN[8-abr])</f>
        <v>0</v>
      </c>
      <c r="AJ2" s="3">
        <f>SUM(Muertes_PN[9-abr])</f>
        <v>0</v>
      </c>
      <c r="AK2" s="3">
        <f>SUM(Muertes_PN[10-abr])</f>
        <v>0</v>
      </c>
      <c r="AL2" s="3">
        <f>SUM(Muertes_PN[11-abr])</f>
        <v>0</v>
      </c>
      <c r="AM2" s="3">
        <f>SUM(Muertes_PN[12-abr])</f>
        <v>0</v>
      </c>
      <c r="AN2" s="3">
        <f>SUM(Muertes_PN[13-abr])</f>
        <v>0</v>
      </c>
      <c r="AO2" s="3">
        <f>SUM(Muertes_PN[14-abr])</f>
        <v>0</v>
      </c>
      <c r="AP2" s="3">
        <f>SUM(Muertes_PN[15-abr])</f>
        <v>0</v>
      </c>
      <c r="AQ2" s="3">
        <f>SUM(Muertes_PN[16-abr])</f>
        <v>0</v>
      </c>
      <c r="AR2" s="3">
        <f>SUM(Muertes_PN[17-abr])</f>
        <v>0</v>
      </c>
      <c r="AS2" s="3">
        <f>SUM(Muertes_PN[18-abr])</f>
        <v>0</v>
      </c>
      <c r="AT2" s="3">
        <f>SUM(Muertes_PN[19-abr])</f>
        <v>0</v>
      </c>
      <c r="AU2" s="3">
        <f>SUM(Muertes_PN[20-abr])</f>
        <v>0</v>
      </c>
      <c r="AV2" s="3">
        <f>SUM(Muertes_PN[21-abr])</f>
        <v>0</v>
      </c>
      <c r="AW2" s="3">
        <f>SUM(Muertes_PN[22-abr])</f>
        <v>0</v>
      </c>
      <c r="AX2" s="3">
        <f>SUM(Muertes_PN[23-abr])</f>
        <v>0</v>
      </c>
      <c r="AY2" s="3">
        <f>SUM(Muertes_PN[24-abr])</f>
        <v>0</v>
      </c>
      <c r="AZ2" s="3">
        <f>SUM(Muertes_PN[25-abr])</f>
        <v>0</v>
      </c>
      <c r="BA2" s="3">
        <f>SUM(Muertes_PN[26-abr])</f>
        <v>0</v>
      </c>
      <c r="BB2" s="3">
        <f>SUM(Muertes_PN[27-abr])</f>
        <v>0</v>
      </c>
      <c r="BC2" s="3">
        <f>SUM(Muertes_PN[28-abr])</f>
        <v>0</v>
      </c>
      <c r="BD2" s="3">
        <f>SUM(Muertes_PN[29-abr])</f>
        <v>0</v>
      </c>
      <c r="BE2" s="3">
        <f>SUM(Muertes_PN[30-abr])</f>
        <v>0</v>
      </c>
      <c r="BF2" s="3">
        <f>SUM(Muertes_PN[1-may])</f>
        <v>0</v>
      </c>
      <c r="BG2" s="3">
        <f>SUM(Muertes_PN[2-may])</f>
        <v>0</v>
      </c>
      <c r="BH2" s="3">
        <f>SUM(Muertes_PN[3-may])</f>
        <v>0</v>
      </c>
      <c r="BI2" s="3">
        <f>SUM(Muertes_PN[4-may])</f>
        <v>0</v>
      </c>
      <c r="BJ2" s="3">
        <f>SUM(Muertes_PN[5-may])</f>
        <v>0</v>
      </c>
      <c r="BK2" s="3">
        <f>SUM(Muertes_PN[6-may])</f>
        <v>0</v>
      </c>
      <c r="BL2" s="3">
        <f>SUM(Muertes_PN[7-may])</f>
        <v>0</v>
      </c>
      <c r="BM2" s="3">
        <f>SUM(Muertes_PN[8-may])</f>
        <v>0</v>
      </c>
      <c r="BN2" s="3">
        <f>SUM(Muertes_PN[9-may])</f>
        <v>0</v>
      </c>
      <c r="BO2" s="3">
        <f>SUM(Muertes_PN[10-may])</f>
        <v>0</v>
      </c>
      <c r="BP2" s="3">
        <f>SUM(Muertes_PN[11-may])</f>
        <v>0</v>
      </c>
      <c r="BQ2" s="3">
        <f>SUM(Muertes_PN[12-may])</f>
        <v>0</v>
      </c>
      <c r="BR2" s="3">
        <f>SUM(Muertes_PN[13-may])</f>
        <v>0</v>
      </c>
      <c r="BS2" s="3">
        <f>SUM(Muertes_PN[14-may])</f>
        <v>0</v>
      </c>
      <c r="BT2" s="3">
        <f>SUM(Muertes_PN[15-may])</f>
        <v>0</v>
      </c>
      <c r="BU2" s="3">
        <f>SUM(Muertes_PN[16-may])</f>
        <v>0</v>
      </c>
      <c r="BV2" s="3">
        <f>SUM(Muertes_PN[17-may])</f>
        <v>0</v>
      </c>
      <c r="BW2" s="3">
        <f>SUM(Muertes_PN[18-may])</f>
        <v>0</v>
      </c>
      <c r="BX2" s="3">
        <f>SUM(Muertes_PN[19-may])</f>
        <v>0</v>
      </c>
      <c r="BY2" s="3">
        <f>SUM(Muertes_PN[20-may])</f>
        <v>0</v>
      </c>
      <c r="BZ2" s="3">
        <f>SUM(Muertes_PN[21-may])</f>
        <v>0</v>
      </c>
      <c r="CA2" s="3">
        <f>SUM(Muertes_PN[22-may])</f>
        <v>0</v>
      </c>
      <c r="CB2" s="3">
        <f>SUM(Muertes_PN[23-may])</f>
        <v>0</v>
      </c>
      <c r="CC2" s="3">
        <f>SUM(Muertes_PN[24-may])</f>
        <v>0</v>
      </c>
      <c r="CD2" s="3">
        <f>SUM(Muertes_PN[25-may])</f>
        <v>0</v>
      </c>
      <c r="CE2" s="3">
        <f>SUM(Muertes_PN[26-may])</f>
        <v>0</v>
      </c>
      <c r="CF2" s="3">
        <f>SUM(Muertes_PN[27-may])</f>
        <v>0</v>
      </c>
      <c r="CG2" s="3">
        <f>SUM(Muertes_PN[28-may])</f>
        <v>0</v>
      </c>
      <c r="CH2" s="3">
        <f>SUM(Muertes_PN[29-may])</f>
        <v>0</v>
      </c>
      <c r="CI2" s="3">
        <f>SUM(Muertes_PN[30-may])</f>
        <v>0</v>
      </c>
      <c r="CJ2" s="3">
        <f>SUM(Muertes_PN[31-may])</f>
        <v>0</v>
      </c>
      <c r="CK2" s="3">
        <f>SUM(Muertes_PN[1-jun])</f>
        <v>0</v>
      </c>
      <c r="CL2" s="3">
        <f>SUM(Muertes_PN[2-jun])</f>
        <v>0</v>
      </c>
      <c r="CM2" s="3">
        <f>SUM(Muertes_PN[3-jun])</f>
        <v>0</v>
      </c>
      <c r="CN2" s="3">
        <f>SUM(Muertes_PN[4-jun])</f>
        <v>0</v>
      </c>
    </row>
    <row r="3" spans="1:92" s="6" customFormat="1" ht="25.9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 x14ac:dyDescent="0.25">
      <c r="A4">
        <v>10101</v>
      </c>
      <c r="B4" s="2" t="s">
        <v>92</v>
      </c>
      <c r="C4" s="2" t="s">
        <v>92</v>
      </c>
      <c r="D4" s="2" t="s">
        <v>93</v>
      </c>
      <c r="E4" s="4">
        <f>SUM(F4:AEZ4)</f>
        <v>0</v>
      </c>
    </row>
    <row r="5" spans="1:92" x14ac:dyDescent="0.25">
      <c r="A5">
        <v>10102</v>
      </c>
      <c r="B5" s="2" t="s">
        <v>92</v>
      </c>
      <c r="C5" s="2" t="s">
        <v>92</v>
      </c>
      <c r="D5" s="2" t="s">
        <v>94</v>
      </c>
      <c r="E5" s="4">
        <f t="shared" ref="E5:E68" si="0">SUM(F5:AEZ5)</f>
        <v>0</v>
      </c>
      <c r="R5" s="1"/>
    </row>
    <row r="6" spans="1:92" x14ac:dyDescent="0.25">
      <c r="A6">
        <v>10103</v>
      </c>
      <c r="B6" s="2" t="s">
        <v>92</v>
      </c>
      <c r="C6" s="2" t="s">
        <v>92</v>
      </c>
      <c r="D6" s="2" t="s">
        <v>95</v>
      </c>
      <c r="E6" s="4">
        <f t="shared" si="0"/>
        <v>0</v>
      </c>
      <c r="R6" s="1"/>
    </row>
    <row r="7" spans="1:92" x14ac:dyDescent="0.25">
      <c r="A7">
        <v>10104</v>
      </c>
      <c r="B7" s="2" t="s">
        <v>92</v>
      </c>
      <c r="C7" s="2" t="s">
        <v>92</v>
      </c>
      <c r="D7" s="2" t="s">
        <v>96</v>
      </c>
      <c r="E7" s="4">
        <f t="shared" si="0"/>
        <v>0</v>
      </c>
      <c r="R7" s="1"/>
    </row>
    <row r="8" spans="1:92" x14ac:dyDescent="0.25">
      <c r="A8">
        <v>10105</v>
      </c>
      <c r="B8" s="2" t="s">
        <v>92</v>
      </c>
      <c r="C8" s="2" t="s">
        <v>92</v>
      </c>
      <c r="D8" s="2" t="s">
        <v>97</v>
      </c>
      <c r="E8" s="4">
        <f t="shared" si="0"/>
        <v>0</v>
      </c>
      <c r="R8" s="1"/>
    </row>
    <row r="9" spans="1:92" x14ac:dyDescent="0.25">
      <c r="A9">
        <v>10209</v>
      </c>
      <c r="B9" s="2" t="s">
        <v>92</v>
      </c>
      <c r="C9" s="2" t="s">
        <v>98</v>
      </c>
      <c r="D9" s="2" t="s">
        <v>99</v>
      </c>
      <c r="E9" s="4">
        <f t="shared" si="0"/>
        <v>0</v>
      </c>
      <c r="R9" s="1"/>
    </row>
    <row r="10" spans="1:92" x14ac:dyDescent="0.25">
      <c r="A10">
        <v>10201</v>
      </c>
      <c r="B10" s="2" t="s">
        <v>92</v>
      </c>
      <c r="C10" s="2" t="s">
        <v>100</v>
      </c>
      <c r="D10" s="2" t="s">
        <v>101</v>
      </c>
      <c r="E10" s="4">
        <f t="shared" si="0"/>
        <v>0</v>
      </c>
      <c r="R10" s="1"/>
    </row>
    <row r="11" spans="1:92" x14ac:dyDescent="0.25">
      <c r="A11">
        <v>10203</v>
      </c>
      <c r="B11" s="2" t="s">
        <v>92</v>
      </c>
      <c r="C11" s="2" t="s">
        <v>100</v>
      </c>
      <c r="D11" s="2" t="s">
        <v>102</v>
      </c>
      <c r="E11" s="4">
        <f t="shared" si="0"/>
        <v>0</v>
      </c>
      <c r="R11" s="1"/>
    </row>
    <row r="12" spans="1:92" x14ac:dyDescent="0.25">
      <c r="A12">
        <v>10204</v>
      </c>
      <c r="B12" s="2" t="s">
        <v>92</v>
      </c>
      <c r="C12" s="2" t="s">
        <v>100</v>
      </c>
      <c r="D12" s="2" t="s">
        <v>103</v>
      </c>
      <c r="E12" s="4">
        <f t="shared" si="0"/>
        <v>0</v>
      </c>
      <c r="R12" s="1"/>
    </row>
    <row r="13" spans="1:92" x14ac:dyDescent="0.25">
      <c r="A13">
        <v>10206</v>
      </c>
      <c r="B13" s="2" t="s">
        <v>92</v>
      </c>
      <c r="C13" s="2" t="s">
        <v>100</v>
      </c>
      <c r="D13" s="2" t="s">
        <v>104</v>
      </c>
      <c r="E13" s="4">
        <f t="shared" si="0"/>
        <v>0</v>
      </c>
      <c r="R13" s="1"/>
    </row>
    <row r="14" spans="1:92" x14ac:dyDescent="0.25">
      <c r="A14">
        <v>10207</v>
      </c>
      <c r="B14" s="2" t="s">
        <v>92</v>
      </c>
      <c r="C14" s="2" t="s">
        <v>100</v>
      </c>
      <c r="D14" s="2" t="s">
        <v>105</v>
      </c>
      <c r="E14" s="4">
        <f t="shared" si="0"/>
        <v>0</v>
      </c>
      <c r="R14" s="1"/>
    </row>
    <row r="15" spans="1:92" x14ac:dyDescent="0.25">
      <c r="A15">
        <v>10208</v>
      </c>
      <c r="B15" s="2" t="s">
        <v>92</v>
      </c>
      <c r="C15" s="2" t="s">
        <v>100</v>
      </c>
      <c r="D15" s="2" t="s">
        <v>106</v>
      </c>
      <c r="E15" s="4">
        <f t="shared" si="0"/>
        <v>0</v>
      </c>
      <c r="R15" s="1"/>
    </row>
    <row r="16" spans="1:92" x14ac:dyDescent="0.25">
      <c r="A16">
        <v>10209</v>
      </c>
      <c r="B16" s="2" t="s">
        <v>92</v>
      </c>
      <c r="C16" s="2" t="s">
        <v>100</v>
      </c>
      <c r="D16" s="2" t="s">
        <v>107</v>
      </c>
      <c r="E16" s="4">
        <f t="shared" si="0"/>
        <v>0</v>
      </c>
      <c r="R16" s="1"/>
    </row>
    <row r="17" spans="1:18" x14ac:dyDescent="0.25">
      <c r="A17">
        <v>10210</v>
      </c>
      <c r="B17" s="2" t="s">
        <v>92</v>
      </c>
      <c r="C17" s="2" t="s">
        <v>100</v>
      </c>
      <c r="D17" s="2" t="s">
        <v>108</v>
      </c>
      <c r="E17" s="4">
        <f t="shared" si="0"/>
        <v>0</v>
      </c>
      <c r="R17" s="1"/>
    </row>
    <row r="18" spans="1:18" x14ac:dyDescent="0.25">
      <c r="A18">
        <v>10301</v>
      </c>
      <c r="B18" s="2" t="s">
        <v>92</v>
      </c>
      <c r="C18" s="2" t="s">
        <v>109</v>
      </c>
      <c r="D18" s="2" t="s">
        <v>110</v>
      </c>
      <c r="E18" s="4">
        <f t="shared" si="0"/>
        <v>0</v>
      </c>
      <c r="R18" s="1"/>
    </row>
    <row r="19" spans="1:18" x14ac:dyDescent="0.25">
      <c r="A19">
        <v>10302</v>
      </c>
      <c r="B19" s="2" t="s">
        <v>92</v>
      </c>
      <c r="C19" s="2" t="s">
        <v>109</v>
      </c>
      <c r="D19" s="2" t="s">
        <v>111</v>
      </c>
      <c r="E19" s="4">
        <f t="shared" si="0"/>
        <v>0</v>
      </c>
      <c r="R19" s="1"/>
    </row>
    <row r="20" spans="1:18" x14ac:dyDescent="0.25">
      <c r="A20">
        <v>10303</v>
      </c>
      <c r="B20" s="2" t="s">
        <v>92</v>
      </c>
      <c r="C20" s="2" t="s">
        <v>109</v>
      </c>
      <c r="D20" s="2" t="s">
        <v>112</v>
      </c>
      <c r="E20" s="4">
        <f t="shared" si="0"/>
        <v>0</v>
      </c>
      <c r="R20" s="1"/>
    </row>
    <row r="21" spans="1:18" x14ac:dyDescent="0.25">
      <c r="A21">
        <v>10304</v>
      </c>
      <c r="B21" s="2" t="s">
        <v>92</v>
      </c>
      <c r="C21" s="2" t="s">
        <v>109</v>
      </c>
      <c r="D21" s="2" t="s">
        <v>113</v>
      </c>
      <c r="E21" s="4">
        <f t="shared" si="0"/>
        <v>0</v>
      </c>
      <c r="R21" s="1"/>
    </row>
    <row r="22" spans="1:18" x14ac:dyDescent="0.25">
      <c r="A22">
        <v>10305</v>
      </c>
      <c r="B22" s="2" t="s">
        <v>92</v>
      </c>
      <c r="C22" s="2" t="s">
        <v>109</v>
      </c>
      <c r="D22" s="2" t="s">
        <v>114</v>
      </c>
      <c r="E22" s="4">
        <f t="shared" si="0"/>
        <v>0</v>
      </c>
      <c r="R22" s="1"/>
    </row>
    <row r="23" spans="1:18" x14ac:dyDescent="0.25">
      <c r="A23">
        <v>10306</v>
      </c>
      <c r="B23" s="2" t="s">
        <v>92</v>
      </c>
      <c r="C23" s="2" t="s">
        <v>109</v>
      </c>
      <c r="D23" s="2" t="s">
        <v>115</v>
      </c>
      <c r="E23" s="4">
        <f t="shared" si="0"/>
        <v>0</v>
      </c>
      <c r="R23" s="1"/>
    </row>
    <row r="24" spans="1:18" x14ac:dyDescent="0.25">
      <c r="A24">
        <v>20101</v>
      </c>
      <c r="B24" s="2" t="s">
        <v>116</v>
      </c>
      <c r="C24" s="2" t="s">
        <v>117</v>
      </c>
      <c r="D24" s="2" t="s">
        <v>118</v>
      </c>
      <c r="E24" s="4">
        <f t="shared" si="0"/>
        <v>0</v>
      </c>
      <c r="R24" s="1"/>
    </row>
    <row r="25" spans="1:18" x14ac:dyDescent="0.25">
      <c r="A25">
        <v>20102</v>
      </c>
      <c r="B25" s="2" t="s">
        <v>116</v>
      </c>
      <c r="C25" s="2" t="s">
        <v>117</v>
      </c>
      <c r="D25" s="2" t="s">
        <v>119</v>
      </c>
      <c r="E25" s="4">
        <f t="shared" si="0"/>
        <v>0</v>
      </c>
      <c r="R25" s="1"/>
    </row>
    <row r="26" spans="1:18" x14ac:dyDescent="0.25">
      <c r="A26">
        <v>20103</v>
      </c>
      <c r="B26" s="2" t="s">
        <v>116</v>
      </c>
      <c r="C26" s="2" t="s">
        <v>117</v>
      </c>
      <c r="D26" s="2" t="s">
        <v>120</v>
      </c>
      <c r="E26" s="4">
        <f t="shared" si="0"/>
        <v>0</v>
      </c>
      <c r="R26" s="1"/>
    </row>
    <row r="27" spans="1:18" x14ac:dyDescent="0.25">
      <c r="A27">
        <v>20104</v>
      </c>
      <c r="B27" s="2" t="s">
        <v>116</v>
      </c>
      <c r="C27" s="2" t="s">
        <v>117</v>
      </c>
      <c r="D27" s="2" t="s">
        <v>121</v>
      </c>
      <c r="E27" s="4">
        <f t="shared" si="0"/>
        <v>0</v>
      </c>
      <c r="R27" s="1"/>
    </row>
    <row r="28" spans="1:18" x14ac:dyDescent="0.25">
      <c r="A28">
        <v>20105</v>
      </c>
      <c r="B28" s="2" t="s">
        <v>116</v>
      </c>
      <c r="C28" s="2" t="s">
        <v>117</v>
      </c>
      <c r="D28" s="2" t="s">
        <v>122</v>
      </c>
      <c r="E28" s="4">
        <f t="shared" si="0"/>
        <v>0</v>
      </c>
      <c r="R28" s="1"/>
    </row>
    <row r="29" spans="1:18" x14ac:dyDescent="0.25">
      <c r="A29">
        <v>20201</v>
      </c>
      <c r="B29" s="2" t="s">
        <v>116</v>
      </c>
      <c r="C29" s="2" t="s">
        <v>123</v>
      </c>
      <c r="D29" s="2" t="s">
        <v>124</v>
      </c>
      <c r="E29" s="4">
        <f t="shared" si="0"/>
        <v>0</v>
      </c>
      <c r="R29" s="1"/>
    </row>
    <row r="30" spans="1:18" x14ac:dyDescent="0.25">
      <c r="A30">
        <v>20202</v>
      </c>
      <c r="B30" s="2" t="s">
        <v>116</v>
      </c>
      <c r="C30" s="2" t="s">
        <v>123</v>
      </c>
      <c r="D30" s="2" t="s">
        <v>125</v>
      </c>
      <c r="E30" s="4">
        <f t="shared" si="0"/>
        <v>0</v>
      </c>
      <c r="R30" s="1"/>
    </row>
    <row r="31" spans="1:18" x14ac:dyDescent="0.25">
      <c r="A31">
        <v>20203</v>
      </c>
      <c r="B31" s="2" t="s">
        <v>116</v>
      </c>
      <c r="C31" s="2" t="s">
        <v>123</v>
      </c>
      <c r="D31" s="2" t="s">
        <v>126</v>
      </c>
      <c r="E31" s="4">
        <f t="shared" si="0"/>
        <v>0</v>
      </c>
      <c r="R31" s="1"/>
    </row>
    <row r="32" spans="1:18" x14ac:dyDescent="0.25">
      <c r="A32">
        <v>20204</v>
      </c>
      <c r="B32" s="2" t="s">
        <v>116</v>
      </c>
      <c r="C32" s="2" t="s">
        <v>123</v>
      </c>
      <c r="D32" s="2" t="s">
        <v>127</v>
      </c>
      <c r="E32" s="4">
        <f t="shared" si="0"/>
        <v>0</v>
      </c>
      <c r="R32" s="1"/>
    </row>
    <row r="33" spans="1:18" x14ac:dyDescent="0.25">
      <c r="A33">
        <v>20205</v>
      </c>
      <c r="B33" s="2" t="s">
        <v>116</v>
      </c>
      <c r="C33" s="2" t="s">
        <v>123</v>
      </c>
      <c r="D33" s="2" t="s">
        <v>128</v>
      </c>
      <c r="E33" s="4">
        <f t="shared" si="0"/>
        <v>0</v>
      </c>
      <c r="R33" s="1"/>
    </row>
    <row r="34" spans="1:18" x14ac:dyDescent="0.25">
      <c r="A34">
        <v>20206</v>
      </c>
      <c r="B34" s="2" t="s">
        <v>116</v>
      </c>
      <c r="C34" s="2" t="s">
        <v>123</v>
      </c>
      <c r="D34" s="2" t="s">
        <v>129</v>
      </c>
      <c r="E34" s="4">
        <f t="shared" si="0"/>
        <v>0</v>
      </c>
      <c r="R34" s="1"/>
    </row>
    <row r="35" spans="1:18" x14ac:dyDescent="0.25">
      <c r="A35">
        <v>20207</v>
      </c>
      <c r="B35" s="2" t="s">
        <v>116</v>
      </c>
      <c r="C35" s="2" t="s">
        <v>123</v>
      </c>
      <c r="D35" s="2" t="s">
        <v>130</v>
      </c>
      <c r="E35" s="4">
        <f t="shared" si="0"/>
        <v>0</v>
      </c>
      <c r="R35" s="1"/>
    </row>
    <row r="36" spans="1:18" x14ac:dyDescent="0.25">
      <c r="A36">
        <v>20208</v>
      </c>
      <c r="B36" s="2" t="s">
        <v>116</v>
      </c>
      <c r="C36" s="2" t="s">
        <v>123</v>
      </c>
      <c r="D36" s="2" t="s">
        <v>131</v>
      </c>
      <c r="E36" s="4">
        <f t="shared" si="0"/>
        <v>0</v>
      </c>
      <c r="R36" s="1"/>
    </row>
    <row r="37" spans="1:18" x14ac:dyDescent="0.25">
      <c r="A37">
        <v>20209</v>
      </c>
      <c r="B37" s="2" t="s">
        <v>116</v>
      </c>
      <c r="C37" s="2" t="s">
        <v>123</v>
      </c>
      <c r="D37" s="2" t="s">
        <v>132</v>
      </c>
      <c r="E37" s="4">
        <f t="shared" si="0"/>
        <v>0</v>
      </c>
      <c r="R37" s="1"/>
    </row>
    <row r="38" spans="1:18" x14ac:dyDescent="0.25">
      <c r="A38">
        <v>20210</v>
      </c>
      <c r="B38" s="2" t="s">
        <v>116</v>
      </c>
      <c r="C38" s="2" t="s">
        <v>123</v>
      </c>
      <c r="D38" s="2" t="s">
        <v>133</v>
      </c>
      <c r="E38" s="4">
        <f t="shared" si="0"/>
        <v>0</v>
      </c>
      <c r="R38" s="1"/>
    </row>
    <row r="39" spans="1:18" x14ac:dyDescent="0.25">
      <c r="A39">
        <v>20301</v>
      </c>
      <c r="B39" s="2" t="s">
        <v>116</v>
      </c>
      <c r="C39" s="2" t="s">
        <v>134</v>
      </c>
      <c r="D39" s="2" t="s">
        <v>135</v>
      </c>
      <c r="E39" s="4">
        <f t="shared" si="0"/>
        <v>0</v>
      </c>
      <c r="R39" s="1"/>
    </row>
    <row r="40" spans="1:18" x14ac:dyDescent="0.25">
      <c r="A40">
        <v>20302</v>
      </c>
      <c r="B40" s="2" t="s">
        <v>116</v>
      </c>
      <c r="C40" s="2" t="s">
        <v>134</v>
      </c>
      <c r="D40" s="2" t="s">
        <v>136</v>
      </c>
      <c r="E40" s="4">
        <f t="shared" si="0"/>
        <v>0</v>
      </c>
      <c r="R40" s="1"/>
    </row>
    <row r="41" spans="1:18" x14ac:dyDescent="0.25">
      <c r="A41">
        <v>20303</v>
      </c>
      <c r="B41" s="2" t="s">
        <v>116</v>
      </c>
      <c r="C41" s="2" t="s">
        <v>134</v>
      </c>
      <c r="D41" s="2" t="s">
        <v>137</v>
      </c>
      <c r="E41" s="4">
        <f t="shared" si="0"/>
        <v>0</v>
      </c>
      <c r="R41" s="1"/>
    </row>
    <row r="42" spans="1:18" x14ac:dyDescent="0.25">
      <c r="A42">
        <v>20304</v>
      </c>
      <c r="B42" s="2" t="s">
        <v>116</v>
      </c>
      <c r="C42" s="2" t="s">
        <v>134</v>
      </c>
      <c r="D42" s="2" t="s">
        <v>138</v>
      </c>
      <c r="E42" s="4">
        <f t="shared" si="0"/>
        <v>0</v>
      </c>
      <c r="R42" s="1"/>
    </row>
    <row r="43" spans="1:18" x14ac:dyDescent="0.25">
      <c r="A43">
        <v>20305</v>
      </c>
      <c r="B43" s="2" t="s">
        <v>116</v>
      </c>
      <c r="C43" s="2" t="s">
        <v>134</v>
      </c>
      <c r="D43" s="2" t="s">
        <v>139</v>
      </c>
      <c r="E43" s="4">
        <f t="shared" si="0"/>
        <v>0</v>
      </c>
      <c r="R43" s="1"/>
    </row>
    <row r="44" spans="1:18" x14ac:dyDescent="0.25">
      <c r="A44">
        <v>20306</v>
      </c>
      <c r="B44" s="2" t="s">
        <v>116</v>
      </c>
      <c r="C44" s="2" t="s">
        <v>134</v>
      </c>
      <c r="D44" s="2" t="s">
        <v>140</v>
      </c>
      <c r="E44" s="4">
        <f t="shared" si="0"/>
        <v>0</v>
      </c>
      <c r="R44" s="1"/>
    </row>
    <row r="45" spans="1:18" x14ac:dyDescent="0.25">
      <c r="A45">
        <v>20401</v>
      </c>
      <c r="B45" s="2" t="s">
        <v>116</v>
      </c>
      <c r="C45" s="2" t="s">
        <v>141</v>
      </c>
      <c r="D45" s="2" t="s">
        <v>142</v>
      </c>
      <c r="E45" s="4">
        <f t="shared" si="0"/>
        <v>0</v>
      </c>
      <c r="R45" s="1"/>
    </row>
    <row r="46" spans="1:18" x14ac:dyDescent="0.25">
      <c r="A46">
        <v>20402</v>
      </c>
      <c r="B46" s="2" t="s">
        <v>116</v>
      </c>
      <c r="C46" s="2" t="s">
        <v>141</v>
      </c>
      <c r="D46" s="2" t="s">
        <v>143</v>
      </c>
      <c r="E46" s="4">
        <f t="shared" si="0"/>
        <v>0</v>
      </c>
      <c r="R46" s="1"/>
    </row>
    <row r="47" spans="1:18" x14ac:dyDescent="0.25">
      <c r="A47">
        <v>20403</v>
      </c>
      <c r="B47" s="2" t="s">
        <v>116</v>
      </c>
      <c r="C47" s="2" t="s">
        <v>141</v>
      </c>
      <c r="D47" s="2" t="s">
        <v>144</v>
      </c>
      <c r="E47" s="4">
        <f t="shared" si="0"/>
        <v>0</v>
      </c>
      <c r="R47" s="1"/>
    </row>
    <row r="48" spans="1:18" x14ac:dyDescent="0.25">
      <c r="A48">
        <v>20404</v>
      </c>
      <c r="B48" s="2" t="s">
        <v>116</v>
      </c>
      <c r="C48" s="2" t="s">
        <v>141</v>
      </c>
      <c r="D48" s="2" t="s">
        <v>145</v>
      </c>
      <c r="E48" s="4">
        <f t="shared" si="0"/>
        <v>0</v>
      </c>
      <c r="R48" s="1"/>
    </row>
    <row r="49" spans="1:18" x14ac:dyDescent="0.25">
      <c r="A49">
        <v>20405</v>
      </c>
      <c r="B49" s="2" t="s">
        <v>116</v>
      </c>
      <c r="C49" s="2" t="s">
        <v>141</v>
      </c>
      <c r="D49" s="2" t="s">
        <v>146</v>
      </c>
      <c r="E49" s="4">
        <f t="shared" si="0"/>
        <v>0</v>
      </c>
      <c r="R49" s="1"/>
    </row>
    <row r="50" spans="1:18" x14ac:dyDescent="0.25">
      <c r="A50">
        <v>20406</v>
      </c>
      <c r="B50" s="2" t="s">
        <v>116</v>
      </c>
      <c r="C50" s="2" t="s">
        <v>141</v>
      </c>
      <c r="D50" s="2" t="s">
        <v>147</v>
      </c>
      <c r="E50" s="4">
        <f t="shared" si="0"/>
        <v>0</v>
      </c>
      <c r="R50" s="1"/>
    </row>
    <row r="51" spans="1:18" x14ac:dyDescent="0.25">
      <c r="A51">
        <v>20501</v>
      </c>
      <c r="B51" s="2" t="s">
        <v>116</v>
      </c>
      <c r="C51" s="2" t="s">
        <v>148</v>
      </c>
      <c r="D51" s="2" t="s">
        <v>149</v>
      </c>
      <c r="E51" s="4">
        <f t="shared" si="0"/>
        <v>0</v>
      </c>
      <c r="R51" s="1"/>
    </row>
    <row r="52" spans="1:18" x14ac:dyDescent="0.25">
      <c r="A52">
        <v>20502</v>
      </c>
      <c r="B52" s="2" t="s">
        <v>116</v>
      </c>
      <c r="C52" s="2" t="s">
        <v>148</v>
      </c>
      <c r="D52" s="2" t="s">
        <v>150</v>
      </c>
      <c r="E52" s="4">
        <f t="shared" si="0"/>
        <v>0</v>
      </c>
      <c r="R52" s="1"/>
    </row>
    <row r="53" spans="1:18" x14ac:dyDescent="0.25">
      <c r="A53">
        <v>20503</v>
      </c>
      <c r="B53" s="2" t="s">
        <v>116</v>
      </c>
      <c r="C53" s="2" t="s">
        <v>148</v>
      </c>
      <c r="D53" s="2" t="s">
        <v>151</v>
      </c>
      <c r="E53" s="4">
        <f t="shared" si="0"/>
        <v>0</v>
      </c>
      <c r="R53" s="1"/>
    </row>
    <row r="54" spans="1:18" x14ac:dyDescent="0.25">
      <c r="A54">
        <v>20504</v>
      </c>
      <c r="B54" s="2" t="s">
        <v>116</v>
      </c>
      <c r="C54" s="2" t="s">
        <v>148</v>
      </c>
      <c r="D54" s="2" t="s">
        <v>152</v>
      </c>
      <c r="E54" s="4">
        <f t="shared" si="0"/>
        <v>0</v>
      </c>
      <c r="R54" s="1"/>
    </row>
    <row r="55" spans="1:18" x14ac:dyDescent="0.25">
      <c r="A55">
        <v>20505</v>
      </c>
      <c r="B55" s="2" t="s">
        <v>116</v>
      </c>
      <c r="C55" s="2" t="s">
        <v>148</v>
      </c>
      <c r="D55" s="2" t="s">
        <v>153</v>
      </c>
      <c r="E55" s="4">
        <f t="shared" si="0"/>
        <v>0</v>
      </c>
      <c r="R55" s="1"/>
    </row>
    <row r="56" spans="1:18" x14ac:dyDescent="0.25">
      <c r="A56">
        <v>20601</v>
      </c>
      <c r="B56" s="2" t="s">
        <v>116</v>
      </c>
      <c r="C56" s="2" t="s">
        <v>154</v>
      </c>
      <c r="D56" s="2" t="s">
        <v>155</v>
      </c>
      <c r="E56" s="4">
        <f t="shared" si="0"/>
        <v>0</v>
      </c>
      <c r="R56" s="1"/>
    </row>
    <row r="57" spans="1:18" x14ac:dyDescent="0.25">
      <c r="A57">
        <v>20602</v>
      </c>
      <c r="B57" s="2" t="s">
        <v>116</v>
      </c>
      <c r="C57" s="2" t="s">
        <v>154</v>
      </c>
      <c r="D57" s="2" t="s">
        <v>156</v>
      </c>
      <c r="E57" s="4">
        <f t="shared" si="0"/>
        <v>0</v>
      </c>
      <c r="R57" s="1"/>
    </row>
    <row r="58" spans="1:18" x14ac:dyDescent="0.25">
      <c r="A58">
        <v>20603</v>
      </c>
      <c r="B58" s="2" t="s">
        <v>116</v>
      </c>
      <c r="C58" s="2" t="s">
        <v>154</v>
      </c>
      <c r="D58" s="2" t="s">
        <v>116</v>
      </c>
      <c r="E58" s="4">
        <f t="shared" si="0"/>
        <v>0</v>
      </c>
      <c r="R58" s="1"/>
    </row>
    <row r="59" spans="1:18" x14ac:dyDescent="0.25">
      <c r="A59">
        <v>20604</v>
      </c>
      <c r="B59" s="2" t="s">
        <v>116</v>
      </c>
      <c r="C59" s="2" t="s">
        <v>154</v>
      </c>
      <c r="D59" s="2" t="s">
        <v>157</v>
      </c>
      <c r="E59" s="4">
        <f t="shared" si="0"/>
        <v>0</v>
      </c>
      <c r="R59" s="1"/>
    </row>
    <row r="60" spans="1:18" x14ac:dyDescent="0.25">
      <c r="A60">
        <v>20605</v>
      </c>
      <c r="B60" s="2" t="s">
        <v>116</v>
      </c>
      <c r="C60" s="2" t="s">
        <v>154</v>
      </c>
      <c r="D60" s="2" t="s">
        <v>158</v>
      </c>
      <c r="E60" s="4">
        <f t="shared" si="0"/>
        <v>0</v>
      </c>
      <c r="R60" s="1"/>
    </row>
    <row r="61" spans="1:18" x14ac:dyDescent="0.25">
      <c r="A61">
        <v>20606</v>
      </c>
      <c r="B61" s="2" t="s">
        <v>116</v>
      </c>
      <c r="C61" s="2" t="s">
        <v>154</v>
      </c>
      <c r="D61" s="2" t="s">
        <v>159</v>
      </c>
      <c r="E61" s="4">
        <f t="shared" si="0"/>
        <v>0</v>
      </c>
      <c r="R61" s="1"/>
    </row>
    <row r="62" spans="1:18" x14ac:dyDescent="0.25">
      <c r="A62">
        <v>20607</v>
      </c>
      <c r="B62" s="2" t="s">
        <v>116</v>
      </c>
      <c r="C62" s="2" t="s">
        <v>154</v>
      </c>
      <c r="D62" s="2" t="s">
        <v>160</v>
      </c>
      <c r="E62" s="4">
        <f t="shared" si="0"/>
        <v>0</v>
      </c>
      <c r="R62" s="1"/>
    </row>
    <row r="63" spans="1:18" x14ac:dyDescent="0.25">
      <c r="A63">
        <v>20608</v>
      </c>
      <c r="B63" s="2" t="s">
        <v>116</v>
      </c>
      <c r="C63" s="2" t="s">
        <v>154</v>
      </c>
      <c r="D63" s="2" t="s">
        <v>161</v>
      </c>
      <c r="E63" s="4">
        <f t="shared" si="0"/>
        <v>0</v>
      </c>
      <c r="R63" s="1"/>
    </row>
    <row r="64" spans="1:18" x14ac:dyDescent="0.25">
      <c r="A64">
        <v>20609</v>
      </c>
      <c r="B64" s="2" t="s">
        <v>116</v>
      </c>
      <c r="C64" s="2" t="s">
        <v>154</v>
      </c>
      <c r="D64" s="2" t="s">
        <v>162</v>
      </c>
      <c r="E64" s="4">
        <f t="shared" si="0"/>
        <v>0</v>
      </c>
      <c r="R64" s="1"/>
    </row>
    <row r="65" spans="1:18" x14ac:dyDescent="0.25">
      <c r="A65">
        <v>20610</v>
      </c>
      <c r="B65" s="2" t="s">
        <v>116</v>
      </c>
      <c r="C65" s="2" t="s">
        <v>154</v>
      </c>
      <c r="D65" s="2" t="s">
        <v>163</v>
      </c>
      <c r="E65" s="4">
        <f t="shared" si="0"/>
        <v>0</v>
      </c>
      <c r="R65" s="1"/>
    </row>
    <row r="66" spans="1:18" x14ac:dyDescent="0.25">
      <c r="A66">
        <v>30101</v>
      </c>
      <c r="B66" s="2" t="s">
        <v>164</v>
      </c>
      <c r="C66" s="2" t="s">
        <v>164</v>
      </c>
      <c r="D66" s="2" t="s">
        <v>165</v>
      </c>
      <c r="E66" s="4">
        <f t="shared" si="0"/>
        <v>0</v>
      </c>
      <c r="R66" s="1"/>
    </row>
    <row r="67" spans="1:18" x14ac:dyDescent="0.25">
      <c r="A67">
        <v>30102</v>
      </c>
      <c r="B67" s="2" t="s">
        <v>164</v>
      </c>
      <c r="C67" s="2" t="s">
        <v>164</v>
      </c>
      <c r="D67" s="2" t="s">
        <v>166</v>
      </c>
      <c r="E67" s="4">
        <f t="shared" si="0"/>
        <v>0</v>
      </c>
      <c r="R67" s="1"/>
    </row>
    <row r="68" spans="1:18" x14ac:dyDescent="0.25">
      <c r="A68">
        <v>30103</v>
      </c>
      <c r="B68" s="2" t="s">
        <v>164</v>
      </c>
      <c r="C68" s="2" t="s">
        <v>164</v>
      </c>
      <c r="D68" s="2" t="s">
        <v>167</v>
      </c>
      <c r="E68" s="4">
        <f t="shared" si="0"/>
        <v>0</v>
      </c>
      <c r="R68" s="1"/>
    </row>
    <row r="69" spans="1:18" x14ac:dyDescent="0.25">
      <c r="A69">
        <v>30104</v>
      </c>
      <c r="B69" s="2" t="s">
        <v>164</v>
      </c>
      <c r="C69" s="2" t="s">
        <v>164</v>
      </c>
      <c r="D69" s="2" t="s">
        <v>168</v>
      </c>
      <c r="E69" s="4">
        <f t="shared" ref="E69:E132" si="1">SUM(F69:AEZ69)</f>
        <v>0</v>
      </c>
      <c r="R69" s="1"/>
    </row>
    <row r="70" spans="1:18" x14ac:dyDescent="0.25">
      <c r="A70">
        <v>30105</v>
      </c>
      <c r="B70" s="2" t="s">
        <v>164</v>
      </c>
      <c r="C70" s="2" t="s">
        <v>164</v>
      </c>
      <c r="D70" s="2" t="s">
        <v>169</v>
      </c>
      <c r="E70" s="4">
        <f t="shared" si="1"/>
        <v>0</v>
      </c>
      <c r="R70" s="1"/>
    </row>
    <row r="71" spans="1:18" x14ac:dyDescent="0.25">
      <c r="A71">
        <v>30107</v>
      </c>
      <c r="B71" s="2" t="s">
        <v>164</v>
      </c>
      <c r="C71" s="2" t="s">
        <v>164</v>
      </c>
      <c r="D71" s="2" t="s">
        <v>170</v>
      </c>
      <c r="E71" s="4">
        <f t="shared" si="1"/>
        <v>0</v>
      </c>
      <c r="R71" s="1"/>
    </row>
    <row r="72" spans="1:18" x14ac:dyDescent="0.25">
      <c r="A72">
        <v>30107</v>
      </c>
      <c r="B72" s="2" t="s">
        <v>164</v>
      </c>
      <c r="C72" s="2" t="s">
        <v>164</v>
      </c>
      <c r="D72" s="2" t="s">
        <v>170</v>
      </c>
      <c r="E72" s="4">
        <f t="shared" si="1"/>
        <v>0</v>
      </c>
      <c r="R72" s="1"/>
    </row>
    <row r="73" spans="1:18" x14ac:dyDescent="0.25">
      <c r="A73">
        <v>30108</v>
      </c>
      <c r="B73" s="2" t="s">
        <v>164</v>
      </c>
      <c r="C73" s="2" t="s">
        <v>164</v>
      </c>
      <c r="D73" s="2" t="s">
        <v>171</v>
      </c>
      <c r="E73" s="4">
        <f t="shared" si="1"/>
        <v>0</v>
      </c>
      <c r="R73" s="1"/>
    </row>
    <row r="74" spans="1:18" x14ac:dyDescent="0.25">
      <c r="A74">
        <v>30109</v>
      </c>
      <c r="B74" s="2" t="s">
        <v>164</v>
      </c>
      <c r="C74" s="2" t="s">
        <v>164</v>
      </c>
      <c r="D74" s="2" t="s">
        <v>172</v>
      </c>
      <c r="E74" s="4">
        <f t="shared" si="1"/>
        <v>0</v>
      </c>
      <c r="R74" s="1"/>
    </row>
    <row r="75" spans="1:18" x14ac:dyDescent="0.25">
      <c r="A75">
        <v>30110</v>
      </c>
      <c r="B75" s="2" t="s">
        <v>164</v>
      </c>
      <c r="C75" s="2" t="s">
        <v>164</v>
      </c>
      <c r="D75" s="2" t="s">
        <v>173</v>
      </c>
      <c r="E75" s="4">
        <f t="shared" si="1"/>
        <v>0</v>
      </c>
      <c r="R75" s="1"/>
    </row>
    <row r="76" spans="1:18" x14ac:dyDescent="0.25">
      <c r="A76">
        <v>30111</v>
      </c>
      <c r="B76" s="2" t="s">
        <v>164</v>
      </c>
      <c r="C76" s="2" t="s">
        <v>164</v>
      </c>
      <c r="D76" s="2" t="s">
        <v>174</v>
      </c>
      <c r="E76" s="4">
        <f t="shared" si="1"/>
        <v>0</v>
      </c>
      <c r="R76" s="1"/>
    </row>
    <row r="77" spans="1:18" x14ac:dyDescent="0.25">
      <c r="A77">
        <v>30112</v>
      </c>
      <c r="B77" s="2" t="s">
        <v>164</v>
      </c>
      <c r="C77" s="2" t="s">
        <v>164</v>
      </c>
      <c r="D77" s="2" t="s">
        <v>175</v>
      </c>
      <c r="E77" s="4">
        <f t="shared" si="1"/>
        <v>0</v>
      </c>
      <c r="R77" s="1"/>
    </row>
    <row r="78" spans="1:18" x14ac:dyDescent="0.25">
      <c r="A78">
        <v>30113</v>
      </c>
      <c r="B78" s="2" t="s">
        <v>164</v>
      </c>
      <c r="C78" s="2" t="s">
        <v>164</v>
      </c>
      <c r="D78" s="2" t="s">
        <v>176</v>
      </c>
      <c r="E78" s="4">
        <f t="shared" si="1"/>
        <v>0</v>
      </c>
      <c r="R78" s="1"/>
    </row>
    <row r="79" spans="1:18" x14ac:dyDescent="0.25">
      <c r="A79">
        <v>30114</v>
      </c>
      <c r="B79" s="2" t="s">
        <v>164</v>
      </c>
      <c r="C79" s="2" t="s">
        <v>164</v>
      </c>
      <c r="D79" s="2" t="s">
        <v>177</v>
      </c>
      <c r="E79" s="4">
        <f t="shared" si="1"/>
        <v>0</v>
      </c>
      <c r="R79" s="1"/>
    </row>
    <row r="80" spans="1:18" x14ac:dyDescent="0.25">
      <c r="A80">
        <v>30107</v>
      </c>
      <c r="B80" s="2" t="s">
        <v>164</v>
      </c>
      <c r="C80" s="2" t="s">
        <v>164</v>
      </c>
      <c r="D80" s="2" t="s">
        <v>178</v>
      </c>
      <c r="E80" s="4">
        <f t="shared" si="1"/>
        <v>0</v>
      </c>
      <c r="R80" s="1"/>
    </row>
    <row r="81" spans="1:18" x14ac:dyDescent="0.25">
      <c r="A81">
        <v>30201</v>
      </c>
      <c r="B81" s="2" t="s">
        <v>164</v>
      </c>
      <c r="C81" s="2" t="s">
        <v>179</v>
      </c>
      <c r="D81" s="2" t="s">
        <v>180</v>
      </c>
      <c r="E81" s="4">
        <f t="shared" si="1"/>
        <v>0</v>
      </c>
      <c r="R81" s="1"/>
    </row>
    <row r="82" spans="1:18" x14ac:dyDescent="0.25">
      <c r="A82">
        <v>30202</v>
      </c>
      <c r="B82" s="2" t="s">
        <v>164</v>
      </c>
      <c r="C82" s="2" t="s">
        <v>179</v>
      </c>
      <c r="D82" s="2" t="s">
        <v>181</v>
      </c>
      <c r="E82" s="4">
        <f t="shared" si="1"/>
        <v>0</v>
      </c>
      <c r="R82" s="1"/>
    </row>
    <row r="83" spans="1:18" x14ac:dyDescent="0.25">
      <c r="A83">
        <v>30203</v>
      </c>
      <c r="B83" s="2" t="s">
        <v>164</v>
      </c>
      <c r="C83" s="2" t="s">
        <v>179</v>
      </c>
      <c r="D83" s="2" t="s">
        <v>182</v>
      </c>
      <c r="E83" s="4">
        <f t="shared" si="1"/>
        <v>0</v>
      </c>
      <c r="R83" s="1"/>
    </row>
    <row r="84" spans="1:18" x14ac:dyDescent="0.25">
      <c r="A84">
        <v>30204</v>
      </c>
      <c r="B84" s="2" t="s">
        <v>164</v>
      </c>
      <c r="C84" s="2" t="s">
        <v>179</v>
      </c>
      <c r="D84" s="2" t="s">
        <v>183</v>
      </c>
      <c r="E84" s="4">
        <f t="shared" si="1"/>
        <v>0</v>
      </c>
      <c r="R84" s="1"/>
    </row>
    <row r="85" spans="1:18" x14ac:dyDescent="0.25">
      <c r="A85">
        <v>30205</v>
      </c>
      <c r="B85" s="2" t="s">
        <v>164</v>
      </c>
      <c r="C85" s="2" t="s">
        <v>179</v>
      </c>
      <c r="D85" s="2" t="s">
        <v>184</v>
      </c>
      <c r="E85" s="4">
        <f t="shared" si="1"/>
        <v>0</v>
      </c>
      <c r="R85" s="1"/>
    </row>
    <row r="86" spans="1:18" x14ac:dyDescent="0.25">
      <c r="A86">
        <v>30206</v>
      </c>
      <c r="B86" s="2" t="s">
        <v>164</v>
      </c>
      <c r="C86" s="2" t="s">
        <v>179</v>
      </c>
      <c r="D86" s="2" t="s">
        <v>185</v>
      </c>
      <c r="E86" s="4">
        <f t="shared" si="1"/>
        <v>0</v>
      </c>
      <c r="R86" s="1"/>
    </row>
    <row r="87" spans="1:18" x14ac:dyDescent="0.25">
      <c r="A87">
        <v>30207</v>
      </c>
      <c r="B87" s="2" t="s">
        <v>164</v>
      </c>
      <c r="C87" s="2" t="s">
        <v>179</v>
      </c>
      <c r="D87" s="2" t="s">
        <v>186</v>
      </c>
      <c r="E87" s="4">
        <f t="shared" si="1"/>
        <v>0</v>
      </c>
      <c r="R87" s="1"/>
    </row>
    <row r="88" spans="1:18" ht="24" x14ac:dyDescent="0.25">
      <c r="A88">
        <v>30301</v>
      </c>
      <c r="B88" s="2" t="s">
        <v>164</v>
      </c>
      <c r="C88" s="2" t="s">
        <v>187</v>
      </c>
      <c r="D88" s="2" t="s">
        <v>188</v>
      </c>
      <c r="E88" s="4">
        <f t="shared" si="1"/>
        <v>0</v>
      </c>
      <c r="R88" s="1"/>
    </row>
    <row r="89" spans="1:18" x14ac:dyDescent="0.25">
      <c r="A89">
        <v>30302</v>
      </c>
      <c r="B89" s="2" t="s">
        <v>164</v>
      </c>
      <c r="C89" s="2" t="s">
        <v>187</v>
      </c>
      <c r="D89" s="2" t="s">
        <v>189</v>
      </c>
      <c r="E89" s="4">
        <f t="shared" si="1"/>
        <v>0</v>
      </c>
      <c r="R89" s="1"/>
    </row>
    <row r="90" spans="1:18" x14ac:dyDescent="0.25">
      <c r="A90">
        <v>30303</v>
      </c>
      <c r="B90" s="2" t="s">
        <v>164</v>
      </c>
      <c r="C90" s="2" t="s">
        <v>187</v>
      </c>
      <c r="D90" s="2" t="s">
        <v>190</v>
      </c>
      <c r="E90" s="4">
        <f t="shared" si="1"/>
        <v>0</v>
      </c>
      <c r="R90" s="1"/>
    </row>
    <row r="91" spans="1:18" x14ac:dyDescent="0.25">
      <c r="A91">
        <v>30304</v>
      </c>
      <c r="B91" s="2" t="s">
        <v>164</v>
      </c>
      <c r="C91" s="2" t="s">
        <v>187</v>
      </c>
      <c r="D91" s="2" t="s">
        <v>191</v>
      </c>
      <c r="E91" s="4">
        <f t="shared" si="1"/>
        <v>0</v>
      </c>
      <c r="R91" s="1"/>
    </row>
    <row r="92" spans="1:18" x14ac:dyDescent="0.25">
      <c r="A92">
        <v>30305</v>
      </c>
      <c r="B92" s="2" t="s">
        <v>164</v>
      </c>
      <c r="C92" s="2" t="s">
        <v>187</v>
      </c>
      <c r="D92" s="2" t="s">
        <v>161</v>
      </c>
      <c r="E92" s="4">
        <f t="shared" si="1"/>
        <v>0</v>
      </c>
    </row>
    <row r="93" spans="1:18" x14ac:dyDescent="0.25">
      <c r="A93">
        <v>30401</v>
      </c>
      <c r="B93" s="2" t="s">
        <v>164</v>
      </c>
      <c r="C93" s="2" t="s">
        <v>192</v>
      </c>
      <c r="D93" s="2" t="s">
        <v>193</v>
      </c>
      <c r="E93" s="4">
        <f t="shared" si="1"/>
        <v>0</v>
      </c>
    </row>
    <row r="94" spans="1:18" x14ac:dyDescent="0.25">
      <c r="A94">
        <v>30402</v>
      </c>
      <c r="B94" s="2" t="s">
        <v>164</v>
      </c>
      <c r="C94" s="2" t="s">
        <v>192</v>
      </c>
      <c r="D94" s="2" t="s">
        <v>194</v>
      </c>
      <c r="E94" s="4">
        <f t="shared" si="1"/>
        <v>0</v>
      </c>
    </row>
    <row r="95" spans="1:18" x14ac:dyDescent="0.25">
      <c r="A95">
        <v>30403</v>
      </c>
      <c r="B95" s="2" t="s">
        <v>164</v>
      </c>
      <c r="C95" s="2" t="s">
        <v>192</v>
      </c>
      <c r="D95" s="2" t="s">
        <v>195</v>
      </c>
      <c r="E95" s="4">
        <f t="shared" si="1"/>
        <v>0</v>
      </c>
    </row>
    <row r="96" spans="1:18" x14ac:dyDescent="0.25">
      <c r="A96">
        <v>30404</v>
      </c>
      <c r="B96" s="2" t="s">
        <v>164</v>
      </c>
      <c r="C96" s="2" t="s">
        <v>192</v>
      </c>
      <c r="D96" s="2" t="s">
        <v>196</v>
      </c>
      <c r="E96" s="4">
        <f t="shared" si="1"/>
        <v>0</v>
      </c>
    </row>
    <row r="97" spans="1:5" x14ac:dyDescent="0.25">
      <c r="A97">
        <v>30405</v>
      </c>
      <c r="B97" s="2" t="s">
        <v>164</v>
      </c>
      <c r="C97" s="2" t="s">
        <v>192</v>
      </c>
      <c r="D97" s="2" t="s">
        <v>197</v>
      </c>
      <c r="E97" s="4">
        <f t="shared" si="1"/>
        <v>0</v>
      </c>
    </row>
    <row r="98" spans="1:5" x14ac:dyDescent="0.25">
      <c r="A98">
        <v>30501</v>
      </c>
      <c r="B98" s="2" t="s">
        <v>164</v>
      </c>
      <c r="C98" s="2" t="s">
        <v>198</v>
      </c>
      <c r="D98" s="2" t="s">
        <v>199</v>
      </c>
      <c r="E98" s="4">
        <f t="shared" si="1"/>
        <v>0</v>
      </c>
    </row>
    <row r="99" spans="1:5" x14ac:dyDescent="0.25">
      <c r="A99">
        <v>30502</v>
      </c>
      <c r="B99" s="2" t="s">
        <v>164</v>
      </c>
      <c r="C99" s="2" t="s">
        <v>198</v>
      </c>
      <c r="D99" s="2" t="s">
        <v>200</v>
      </c>
      <c r="E99" s="4">
        <f t="shared" si="1"/>
        <v>0</v>
      </c>
    </row>
    <row r="100" spans="1:5" x14ac:dyDescent="0.25">
      <c r="A100">
        <v>30503</v>
      </c>
      <c r="B100" s="2" t="s">
        <v>164</v>
      </c>
      <c r="C100" s="2" t="s">
        <v>198</v>
      </c>
      <c r="D100" s="2" t="s">
        <v>111</v>
      </c>
      <c r="E100" s="4">
        <f t="shared" si="1"/>
        <v>0</v>
      </c>
    </row>
    <row r="101" spans="1:5" x14ac:dyDescent="0.25">
      <c r="A101">
        <v>30504</v>
      </c>
      <c r="B101" s="2" t="s">
        <v>164</v>
      </c>
      <c r="C101" s="2" t="s">
        <v>198</v>
      </c>
      <c r="D101" s="2" t="s">
        <v>201</v>
      </c>
      <c r="E101" s="4">
        <f t="shared" si="1"/>
        <v>0</v>
      </c>
    </row>
    <row r="102" spans="1:5" x14ac:dyDescent="0.25">
      <c r="A102">
        <v>30505</v>
      </c>
      <c r="B102" s="2" t="s">
        <v>164</v>
      </c>
      <c r="C102" s="2" t="s">
        <v>198</v>
      </c>
      <c r="D102" s="2" t="s">
        <v>202</v>
      </c>
      <c r="E102" s="4">
        <f t="shared" si="1"/>
        <v>0</v>
      </c>
    </row>
    <row r="103" spans="1:5" x14ac:dyDescent="0.25">
      <c r="A103">
        <v>30506</v>
      </c>
      <c r="B103" s="2" t="s">
        <v>164</v>
      </c>
      <c r="C103" s="2" t="s">
        <v>198</v>
      </c>
      <c r="D103" s="2" t="s">
        <v>203</v>
      </c>
      <c r="E103" s="4">
        <f t="shared" si="1"/>
        <v>0</v>
      </c>
    </row>
    <row r="104" spans="1:5" x14ac:dyDescent="0.25">
      <c r="A104">
        <v>30507</v>
      </c>
      <c r="B104" s="2" t="s">
        <v>164</v>
      </c>
      <c r="C104" s="2" t="s">
        <v>198</v>
      </c>
      <c r="D104" s="2" t="s">
        <v>198</v>
      </c>
      <c r="E104" s="4">
        <f t="shared" si="1"/>
        <v>0</v>
      </c>
    </row>
    <row r="105" spans="1:5" x14ac:dyDescent="0.25">
      <c r="A105">
        <v>30508</v>
      </c>
      <c r="B105" s="2" t="s">
        <v>164</v>
      </c>
      <c r="C105" s="2" t="s">
        <v>198</v>
      </c>
      <c r="D105" s="2" t="s">
        <v>204</v>
      </c>
      <c r="E105" s="4">
        <f t="shared" si="1"/>
        <v>0</v>
      </c>
    </row>
    <row r="106" spans="1:5" x14ac:dyDescent="0.25">
      <c r="A106">
        <v>40101</v>
      </c>
      <c r="B106" s="2" t="s">
        <v>205</v>
      </c>
      <c r="C106" s="2" t="s">
        <v>206</v>
      </c>
      <c r="D106" s="2" t="s">
        <v>207</v>
      </c>
      <c r="E106" s="4">
        <f t="shared" si="1"/>
        <v>0</v>
      </c>
    </row>
    <row r="107" spans="1:5" x14ac:dyDescent="0.25">
      <c r="A107">
        <v>40102</v>
      </c>
      <c r="B107" s="2" t="s">
        <v>205</v>
      </c>
      <c r="C107" s="2" t="s">
        <v>206</v>
      </c>
      <c r="D107" s="2" t="s">
        <v>208</v>
      </c>
      <c r="E107" s="4">
        <f t="shared" si="1"/>
        <v>0</v>
      </c>
    </row>
    <row r="108" spans="1:5" x14ac:dyDescent="0.25">
      <c r="A108">
        <v>40103</v>
      </c>
      <c r="B108" s="2" t="s">
        <v>205</v>
      </c>
      <c r="C108" s="2" t="s">
        <v>206</v>
      </c>
      <c r="D108" s="2" t="s">
        <v>209</v>
      </c>
      <c r="E108" s="4">
        <f t="shared" si="1"/>
        <v>0</v>
      </c>
    </row>
    <row r="109" spans="1:5" x14ac:dyDescent="0.25">
      <c r="A109">
        <v>40104</v>
      </c>
      <c r="B109" s="2" t="s">
        <v>205</v>
      </c>
      <c r="C109" s="2" t="s">
        <v>206</v>
      </c>
      <c r="D109" s="2" t="s">
        <v>210</v>
      </c>
      <c r="E109" s="4">
        <f t="shared" si="1"/>
        <v>0</v>
      </c>
    </row>
    <row r="110" spans="1:5" x14ac:dyDescent="0.25">
      <c r="A110">
        <v>40105</v>
      </c>
      <c r="B110" s="2" t="s">
        <v>205</v>
      </c>
      <c r="C110" s="2" t="s">
        <v>206</v>
      </c>
      <c r="D110" s="2" t="s">
        <v>211</v>
      </c>
      <c r="E110" s="4">
        <f t="shared" si="1"/>
        <v>0</v>
      </c>
    </row>
    <row r="111" spans="1:5" x14ac:dyDescent="0.25">
      <c r="A111">
        <v>40106</v>
      </c>
      <c r="B111" s="2" t="s">
        <v>205</v>
      </c>
      <c r="C111" s="2" t="s">
        <v>206</v>
      </c>
      <c r="D111" s="2" t="s">
        <v>212</v>
      </c>
      <c r="E111" s="4">
        <f t="shared" si="1"/>
        <v>0</v>
      </c>
    </row>
    <row r="112" spans="1:5" x14ac:dyDescent="0.25">
      <c r="A112">
        <v>40107</v>
      </c>
      <c r="B112" s="2" t="s">
        <v>205</v>
      </c>
      <c r="C112" s="2" t="s">
        <v>206</v>
      </c>
      <c r="D112" s="2" t="s">
        <v>213</v>
      </c>
      <c r="E112" s="4">
        <f t="shared" si="1"/>
        <v>0</v>
      </c>
    </row>
    <row r="113" spans="1:5" x14ac:dyDescent="0.25">
      <c r="A113">
        <v>40108</v>
      </c>
      <c r="B113" s="2" t="s">
        <v>205</v>
      </c>
      <c r="C113" s="2" t="s">
        <v>206</v>
      </c>
      <c r="D113" s="2" t="s">
        <v>214</v>
      </c>
      <c r="E113" s="4">
        <f t="shared" si="1"/>
        <v>0</v>
      </c>
    </row>
    <row r="114" spans="1:5" x14ac:dyDescent="0.25">
      <c r="A114">
        <v>40109</v>
      </c>
      <c r="B114" s="2" t="s">
        <v>205</v>
      </c>
      <c r="C114" s="2" t="s">
        <v>206</v>
      </c>
      <c r="D114" s="2" t="s">
        <v>215</v>
      </c>
      <c r="E114" s="4">
        <f t="shared" si="1"/>
        <v>0</v>
      </c>
    </row>
    <row r="115" spans="1:5" ht="24" x14ac:dyDescent="0.25">
      <c r="A115">
        <v>40201</v>
      </c>
      <c r="B115" s="2" t="s">
        <v>205</v>
      </c>
      <c r="C115" s="2" t="s">
        <v>216</v>
      </c>
      <c r="D115" s="2" t="s">
        <v>217</v>
      </c>
      <c r="E115" s="4">
        <f t="shared" si="1"/>
        <v>0</v>
      </c>
    </row>
    <row r="116" spans="1:5" x14ac:dyDescent="0.25">
      <c r="A116">
        <v>40202</v>
      </c>
      <c r="B116" s="2" t="s">
        <v>205</v>
      </c>
      <c r="C116" s="2" t="s">
        <v>216</v>
      </c>
      <c r="D116" s="2" t="s">
        <v>218</v>
      </c>
      <c r="E116" s="4">
        <f t="shared" si="1"/>
        <v>0</v>
      </c>
    </row>
    <row r="117" spans="1:5" x14ac:dyDescent="0.25">
      <c r="A117">
        <v>40203</v>
      </c>
      <c r="B117" s="2" t="s">
        <v>205</v>
      </c>
      <c r="C117" s="2" t="s">
        <v>216</v>
      </c>
      <c r="D117" s="2" t="s">
        <v>219</v>
      </c>
      <c r="E117" s="4">
        <f t="shared" si="1"/>
        <v>0</v>
      </c>
    </row>
    <row r="118" spans="1:5" x14ac:dyDescent="0.25">
      <c r="A118">
        <v>40204</v>
      </c>
      <c r="B118" s="2" t="s">
        <v>205</v>
      </c>
      <c r="C118" s="2" t="s">
        <v>216</v>
      </c>
      <c r="D118" s="2" t="s">
        <v>220</v>
      </c>
      <c r="E118" s="4">
        <f t="shared" si="1"/>
        <v>0</v>
      </c>
    </row>
    <row r="119" spans="1:5" x14ac:dyDescent="0.25">
      <c r="A119">
        <v>40205</v>
      </c>
      <c r="B119" s="2" t="s">
        <v>205</v>
      </c>
      <c r="C119" s="2" t="s">
        <v>216</v>
      </c>
      <c r="D119" s="2" t="s">
        <v>221</v>
      </c>
      <c r="E119" s="4">
        <f t="shared" si="1"/>
        <v>0</v>
      </c>
    </row>
    <row r="120" spans="1:5" x14ac:dyDescent="0.25">
      <c r="A120">
        <v>40301</v>
      </c>
      <c r="B120" s="2" t="s">
        <v>205</v>
      </c>
      <c r="C120" s="2" t="s">
        <v>222</v>
      </c>
      <c r="D120" s="2" t="s">
        <v>223</v>
      </c>
      <c r="E120" s="4">
        <f t="shared" si="1"/>
        <v>0</v>
      </c>
    </row>
    <row r="121" spans="1:5" x14ac:dyDescent="0.25">
      <c r="A121">
        <v>40302</v>
      </c>
      <c r="B121" s="2" t="s">
        <v>205</v>
      </c>
      <c r="C121" s="2" t="s">
        <v>222</v>
      </c>
      <c r="D121" s="2" t="s">
        <v>224</v>
      </c>
      <c r="E121" s="4">
        <f t="shared" si="1"/>
        <v>0</v>
      </c>
    </row>
    <row r="122" spans="1:5" x14ac:dyDescent="0.25">
      <c r="A122">
        <v>40303</v>
      </c>
      <c r="B122" s="2" t="s">
        <v>205</v>
      </c>
      <c r="C122" s="2" t="s">
        <v>222</v>
      </c>
      <c r="D122" s="2" t="s">
        <v>225</v>
      </c>
      <c r="E122" s="4">
        <f t="shared" si="1"/>
        <v>0</v>
      </c>
    </row>
    <row r="123" spans="1:5" x14ac:dyDescent="0.25">
      <c r="A123">
        <v>40304</v>
      </c>
      <c r="B123" s="2" t="s">
        <v>205</v>
      </c>
      <c r="C123" s="2" t="s">
        <v>222</v>
      </c>
      <c r="D123" s="2" t="s">
        <v>226</v>
      </c>
      <c r="E123" s="4">
        <f t="shared" si="1"/>
        <v>0</v>
      </c>
    </row>
    <row r="124" spans="1:5" x14ac:dyDescent="0.25">
      <c r="A124">
        <v>40305</v>
      </c>
      <c r="B124" s="2" t="s">
        <v>205</v>
      </c>
      <c r="C124" s="2" t="s">
        <v>222</v>
      </c>
      <c r="D124" s="2" t="s">
        <v>227</v>
      </c>
      <c r="E124" s="4">
        <f t="shared" si="1"/>
        <v>0</v>
      </c>
    </row>
    <row r="125" spans="1:5" x14ac:dyDescent="0.25">
      <c r="A125">
        <v>40306</v>
      </c>
      <c r="B125" s="2" t="s">
        <v>205</v>
      </c>
      <c r="C125" s="2" t="s">
        <v>222</v>
      </c>
      <c r="D125" s="2" t="s">
        <v>228</v>
      </c>
      <c r="E125" s="4">
        <f t="shared" si="1"/>
        <v>0</v>
      </c>
    </row>
    <row r="126" spans="1:5" x14ac:dyDescent="0.25">
      <c r="A126">
        <v>40307</v>
      </c>
      <c r="B126" s="2" t="s">
        <v>205</v>
      </c>
      <c r="C126" s="2" t="s">
        <v>222</v>
      </c>
      <c r="D126" s="2" t="s">
        <v>229</v>
      </c>
      <c r="E126" s="4">
        <f t="shared" si="1"/>
        <v>0</v>
      </c>
    </row>
    <row r="127" spans="1:5" x14ac:dyDescent="0.25">
      <c r="A127">
        <v>40308</v>
      </c>
      <c r="B127" s="2" t="s">
        <v>205</v>
      </c>
      <c r="C127" s="2" t="s">
        <v>222</v>
      </c>
      <c r="D127" s="2" t="s">
        <v>230</v>
      </c>
      <c r="E127" s="4">
        <f t="shared" si="1"/>
        <v>0</v>
      </c>
    </row>
    <row r="128" spans="1:5" x14ac:dyDescent="0.25">
      <c r="A128">
        <v>40401</v>
      </c>
      <c r="B128" s="2" t="s">
        <v>205</v>
      </c>
      <c r="C128" s="2" t="s">
        <v>231</v>
      </c>
      <c r="D128" s="2" t="s">
        <v>232</v>
      </c>
      <c r="E128" s="4">
        <f t="shared" si="1"/>
        <v>0</v>
      </c>
    </row>
    <row r="129" spans="1:5" x14ac:dyDescent="0.25">
      <c r="A129">
        <v>40402</v>
      </c>
      <c r="B129" s="2" t="s">
        <v>205</v>
      </c>
      <c r="C129" s="2" t="s">
        <v>231</v>
      </c>
      <c r="D129" s="2" t="s">
        <v>233</v>
      </c>
      <c r="E129" s="4">
        <f t="shared" si="1"/>
        <v>0</v>
      </c>
    </row>
    <row r="130" spans="1:5" x14ac:dyDescent="0.25">
      <c r="A130">
        <v>40403</v>
      </c>
      <c r="B130" s="2" t="s">
        <v>205</v>
      </c>
      <c r="C130" s="2" t="s">
        <v>231</v>
      </c>
      <c r="D130" s="2" t="s">
        <v>202</v>
      </c>
      <c r="E130" s="4">
        <f t="shared" si="1"/>
        <v>0</v>
      </c>
    </row>
    <row r="131" spans="1:5" x14ac:dyDescent="0.25">
      <c r="A131">
        <v>40404</v>
      </c>
      <c r="B131" s="2" t="s">
        <v>205</v>
      </c>
      <c r="C131" s="2" t="s">
        <v>231</v>
      </c>
      <c r="D131" s="2" t="s">
        <v>234</v>
      </c>
      <c r="E131" s="4">
        <f t="shared" si="1"/>
        <v>0</v>
      </c>
    </row>
    <row r="132" spans="1:5" x14ac:dyDescent="0.25">
      <c r="A132">
        <v>40405</v>
      </c>
      <c r="B132" s="2" t="s">
        <v>205</v>
      </c>
      <c r="C132" s="2" t="s">
        <v>231</v>
      </c>
      <c r="D132" s="2" t="s">
        <v>235</v>
      </c>
      <c r="E132" s="4">
        <f t="shared" si="1"/>
        <v>0</v>
      </c>
    </row>
    <row r="133" spans="1:5" x14ac:dyDescent="0.25">
      <c r="A133">
        <v>40406</v>
      </c>
      <c r="B133" s="2" t="s">
        <v>205</v>
      </c>
      <c r="C133" s="2" t="s">
        <v>231</v>
      </c>
      <c r="D133" s="2" t="s">
        <v>236</v>
      </c>
      <c r="E133" s="4">
        <f t="shared" ref="E133:E196" si="2">SUM(F133:AEZ133)</f>
        <v>0</v>
      </c>
    </row>
    <row r="134" spans="1:5" x14ac:dyDescent="0.25">
      <c r="A134">
        <v>40501</v>
      </c>
      <c r="B134" s="2" t="s">
        <v>205</v>
      </c>
      <c r="C134" s="2" t="s">
        <v>237</v>
      </c>
      <c r="D134" s="2" t="s">
        <v>238</v>
      </c>
      <c r="E134" s="4">
        <f t="shared" si="2"/>
        <v>0</v>
      </c>
    </row>
    <row r="135" spans="1:5" x14ac:dyDescent="0.25">
      <c r="A135">
        <v>40502</v>
      </c>
      <c r="B135" s="2" t="s">
        <v>205</v>
      </c>
      <c r="C135" s="2" t="s">
        <v>237</v>
      </c>
      <c r="D135" s="2" t="s">
        <v>239</v>
      </c>
      <c r="E135" s="4">
        <f t="shared" si="2"/>
        <v>0</v>
      </c>
    </row>
    <row r="136" spans="1:5" x14ac:dyDescent="0.25">
      <c r="A136">
        <v>40503</v>
      </c>
      <c r="B136" s="2" t="s">
        <v>205</v>
      </c>
      <c r="C136" s="2" t="s">
        <v>237</v>
      </c>
      <c r="D136" s="2" t="s">
        <v>237</v>
      </c>
      <c r="E136" s="4">
        <f t="shared" si="2"/>
        <v>0</v>
      </c>
    </row>
    <row r="137" spans="1:5" x14ac:dyDescent="0.25">
      <c r="A137">
        <v>40505</v>
      </c>
      <c r="B137" s="2" t="s">
        <v>205</v>
      </c>
      <c r="C137" s="2" t="s">
        <v>237</v>
      </c>
      <c r="D137" s="2" t="s">
        <v>240</v>
      </c>
      <c r="E137" s="4">
        <f t="shared" si="2"/>
        <v>0</v>
      </c>
    </row>
    <row r="138" spans="1:5" x14ac:dyDescent="0.25">
      <c r="A138">
        <v>40506</v>
      </c>
      <c r="B138" s="2" t="s">
        <v>205</v>
      </c>
      <c r="C138" s="2" t="s">
        <v>237</v>
      </c>
      <c r="D138" s="2" t="s">
        <v>241</v>
      </c>
      <c r="E138" s="4">
        <f t="shared" si="2"/>
        <v>0</v>
      </c>
    </row>
    <row r="139" spans="1:5" x14ac:dyDescent="0.25">
      <c r="A139">
        <v>40507</v>
      </c>
      <c r="B139" s="2" t="s">
        <v>205</v>
      </c>
      <c r="C139" s="2" t="s">
        <v>237</v>
      </c>
      <c r="D139" s="2" t="s">
        <v>242</v>
      </c>
      <c r="E139" s="4">
        <f t="shared" si="2"/>
        <v>0</v>
      </c>
    </row>
    <row r="140" spans="1:5" x14ac:dyDescent="0.25">
      <c r="A140">
        <v>40508</v>
      </c>
      <c r="B140" s="2" t="s">
        <v>205</v>
      </c>
      <c r="C140" s="2" t="s">
        <v>237</v>
      </c>
      <c r="D140" s="2" t="s">
        <v>243</v>
      </c>
      <c r="E140" s="4">
        <f t="shared" si="2"/>
        <v>0</v>
      </c>
    </row>
    <row r="141" spans="1:5" x14ac:dyDescent="0.25">
      <c r="A141">
        <v>40509</v>
      </c>
      <c r="B141" s="2" t="s">
        <v>205</v>
      </c>
      <c r="C141" s="2" t="s">
        <v>237</v>
      </c>
      <c r="D141" s="2" t="s">
        <v>177</v>
      </c>
      <c r="E141" s="4">
        <f t="shared" si="2"/>
        <v>0</v>
      </c>
    </row>
    <row r="142" spans="1:5" x14ac:dyDescent="0.25">
      <c r="A142">
        <v>40510</v>
      </c>
      <c r="B142" s="2" t="s">
        <v>205</v>
      </c>
      <c r="C142" s="2" t="s">
        <v>237</v>
      </c>
      <c r="D142" s="2" t="s">
        <v>244</v>
      </c>
      <c r="E142" s="4">
        <f t="shared" si="2"/>
        <v>0</v>
      </c>
    </row>
    <row r="143" spans="1:5" x14ac:dyDescent="0.25">
      <c r="A143">
        <v>40511</v>
      </c>
      <c r="B143" s="2" t="s">
        <v>205</v>
      </c>
      <c r="C143" s="2" t="s">
        <v>237</v>
      </c>
      <c r="D143" s="2" t="s">
        <v>245</v>
      </c>
      <c r="E143" s="4">
        <f t="shared" si="2"/>
        <v>0</v>
      </c>
    </row>
    <row r="144" spans="1:5" x14ac:dyDescent="0.25">
      <c r="A144">
        <v>40513</v>
      </c>
      <c r="B144" s="2" t="s">
        <v>205</v>
      </c>
      <c r="C144" s="2" t="s">
        <v>237</v>
      </c>
      <c r="D144" s="2" t="s">
        <v>246</v>
      </c>
      <c r="E144" s="4">
        <f t="shared" si="2"/>
        <v>0</v>
      </c>
    </row>
    <row r="145" spans="1:5" x14ac:dyDescent="0.25">
      <c r="A145">
        <v>40601</v>
      </c>
      <c r="B145" s="2" t="s">
        <v>205</v>
      </c>
      <c r="C145" s="2" t="s">
        <v>247</v>
      </c>
      <c r="D145" s="2" t="s">
        <v>248</v>
      </c>
      <c r="E145" s="4">
        <f t="shared" si="2"/>
        <v>0</v>
      </c>
    </row>
    <row r="146" spans="1:5" x14ac:dyDescent="0.25">
      <c r="A146">
        <v>40602</v>
      </c>
      <c r="B146" s="2" t="s">
        <v>205</v>
      </c>
      <c r="C146" s="2" t="s">
        <v>247</v>
      </c>
      <c r="D146" s="2" t="s">
        <v>249</v>
      </c>
      <c r="E146" s="4">
        <f t="shared" si="2"/>
        <v>0</v>
      </c>
    </row>
    <row r="147" spans="1:5" x14ac:dyDescent="0.25">
      <c r="A147">
        <v>40603</v>
      </c>
      <c r="B147" s="2" t="s">
        <v>205</v>
      </c>
      <c r="C147" s="2" t="s">
        <v>247</v>
      </c>
      <c r="D147" s="2" t="s">
        <v>250</v>
      </c>
      <c r="E147" s="4">
        <f t="shared" si="2"/>
        <v>0</v>
      </c>
    </row>
    <row r="148" spans="1:5" x14ac:dyDescent="0.25">
      <c r="A148">
        <v>40604</v>
      </c>
      <c r="B148" s="2" t="s">
        <v>205</v>
      </c>
      <c r="C148" s="2" t="s">
        <v>247</v>
      </c>
      <c r="D148" s="2" t="s">
        <v>205</v>
      </c>
      <c r="E148" s="4">
        <f t="shared" si="2"/>
        <v>0</v>
      </c>
    </row>
    <row r="149" spans="1:5" x14ac:dyDescent="0.25">
      <c r="A149">
        <v>40605</v>
      </c>
      <c r="B149" s="2" t="s">
        <v>205</v>
      </c>
      <c r="C149" s="2" t="s">
        <v>247</v>
      </c>
      <c r="D149" s="2" t="s">
        <v>251</v>
      </c>
      <c r="E149" s="4">
        <f t="shared" si="2"/>
        <v>0</v>
      </c>
    </row>
    <row r="150" spans="1:5" x14ac:dyDescent="0.25">
      <c r="A150">
        <v>40606</v>
      </c>
      <c r="B150" s="2" t="s">
        <v>205</v>
      </c>
      <c r="C150" s="2" t="s">
        <v>247</v>
      </c>
      <c r="D150" s="2" t="s">
        <v>140</v>
      </c>
      <c r="E150" s="4">
        <f t="shared" si="2"/>
        <v>0</v>
      </c>
    </row>
    <row r="151" spans="1:5" x14ac:dyDescent="0.25">
      <c r="A151">
        <v>40607</v>
      </c>
      <c r="B151" s="2" t="s">
        <v>205</v>
      </c>
      <c r="C151" s="2" t="s">
        <v>247</v>
      </c>
      <c r="D151" s="2" t="s">
        <v>229</v>
      </c>
      <c r="E151" s="4">
        <f t="shared" si="2"/>
        <v>0</v>
      </c>
    </row>
    <row r="152" spans="1:5" x14ac:dyDescent="0.25">
      <c r="A152">
        <v>40608</v>
      </c>
      <c r="B152" s="2" t="s">
        <v>205</v>
      </c>
      <c r="C152" s="2" t="s">
        <v>247</v>
      </c>
      <c r="D152" s="2" t="s">
        <v>252</v>
      </c>
      <c r="E152" s="4">
        <f t="shared" si="2"/>
        <v>0</v>
      </c>
    </row>
    <row r="153" spans="1:5" x14ac:dyDescent="0.25">
      <c r="A153">
        <v>40609</v>
      </c>
      <c r="B153" s="2" t="s">
        <v>205</v>
      </c>
      <c r="C153" s="2" t="s">
        <v>247</v>
      </c>
      <c r="D153" s="2" t="s">
        <v>253</v>
      </c>
      <c r="E153" s="4">
        <f t="shared" si="2"/>
        <v>0</v>
      </c>
    </row>
    <row r="154" spans="1:5" x14ac:dyDescent="0.25">
      <c r="A154">
        <v>40610</v>
      </c>
      <c r="B154" s="2" t="s">
        <v>205</v>
      </c>
      <c r="C154" s="2" t="s">
        <v>247</v>
      </c>
      <c r="D154" s="2" t="s">
        <v>254</v>
      </c>
      <c r="E154" s="4">
        <f t="shared" si="2"/>
        <v>0</v>
      </c>
    </row>
    <row r="155" spans="1:5" x14ac:dyDescent="0.25">
      <c r="A155">
        <v>40701</v>
      </c>
      <c r="B155" s="2" t="s">
        <v>205</v>
      </c>
      <c r="C155" s="2" t="s">
        <v>255</v>
      </c>
      <c r="D155" s="2" t="s">
        <v>256</v>
      </c>
      <c r="E155" s="4">
        <f t="shared" si="2"/>
        <v>0</v>
      </c>
    </row>
    <row r="156" spans="1:5" x14ac:dyDescent="0.25">
      <c r="A156">
        <v>40702</v>
      </c>
      <c r="B156" s="2" t="s">
        <v>205</v>
      </c>
      <c r="C156" s="2" t="s">
        <v>255</v>
      </c>
      <c r="D156" s="2" t="s">
        <v>257</v>
      </c>
      <c r="E156" s="4">
        <f t="shared" si="2"/>
        <v>0</v>
      </c>
    </row>
    <row r="157" spans="1:5" x14ac:dyDescent="0.25">
      <c r="A157">
        <v>40703</v>
      </c>
      <c r="B157" s="2" t="s">
        <v>205</v>
      </c>
      <c r="C157" s="2" t="s">
        <v>255</v>
      </c>
      <c r="D157" s="2" t="s">
        <v>258</v>
      </c>
      <c r="E157" s="4">
        <f t="shared" si="2"/>
        <v>0</v>
      </c>
    </row>
    <row r="158" spans="1:5" x14ac:dyDescent="0.25">
      <c r="A158">
        <v>40704</v>
      </c>
      <c r="B158" s="2" t="s">
        <v>205</v>
      </c>
      <c r="C158" s="2" t="s">
        <v>255</v>
      </c>
      <c r="D158" s="2" t="s">
        <v>259</v>
      </c>
      <c r="E158" s="4">
        <f t="shared" si="2"/>
        <v>0</v>
      </c>
    </row>
    <row r="159" spans="1:5" x14ac:dyDescent="0.25">
      <c r="A159">
        <v>40705</v>
      </c>
      <c r="B159" s="2" t="s">
        <v>205</v>
      </c>
      <c r="C159" s="2" t="s">
        <v>255</v>
      </c>
      <c r="D159" s="2" t="s">
        <v>260</v>
      </c>
      <c r="E159" s="4">
        <f t="shared" si="2"/>
        <v>0</v>
      </c>
    </row>
    <row r="160" spans="1:5" x14ac:dyDescent="0.25">
      <c r="A160">
        <v>40706</v>
      </c>
      <c r="B160" s="2" t="s">
        <v>205</v>
      </c>
      <c r="C160" s="2" t="s">
        <v>255</v>
      </c>
      <c r="D160" s="2" t="s">
        <v>261</v>
      </c>
      <c r="E160" s="4">
        <f t="shared" si="2"/>
        <v>0</v>
      </c>
    </row>
    <row r="161" spans="1:5" x14ac:dyDescent="0.25">
      <c r="A161">
        <v>40707</v>
      </c>
      <c r="B161" s="2" t="s">
        <v>205</v>
      </c>
      <c r="C161" s="2" t="s">
        <v>255</v>
      </c>
      <c r="D161" s="2" t="s">
        <v>262</v>
      </c>
      <c r="E161" s="4">
        <f t="shared" si="2"/>
        <v>0</v>
      </c>
    </row>
    <row r="162" spans="1:5" x14ac:dyDescent="0.25">
      <c r="A162">
        <v>40708</v>
      </c>
      <c r="B162" s="2" t="s">
        <v>205</v>
      </c>
      <c r="C162" s="2" t="s">
        <v>255</v>
      </c>
      <c r="D162" s="2" t="s">
        <v>263</v>
      </c>
      <c r="E162" s="4">
        <f t="shared" si="2"/>
        <v>0</v>
      </c>
    </row>
    <row r="163" spans="1:5" x14ac:dyDescent="0.25">
      <c r="A163">
        <v>40801</v>
      </c>
      <c r="B163" s="2" t="s">
        <v>205</v>
      </c>
      <c r="C163" s="2" t="s">
        <v>264</v>
      </c>
      <c r="D163" s="2" t="s">
        <v>264</v>
      </c>
      <c r="E163" s="4">
        <f t="shared" si="2"/>
        <v>0</v>
      </c>
    </row>
    <row r="164" spans="1:5" x14ac:dyDescent="0.25">
      <c r="A164">
        <v>40802</v>
      </c>
      <c r="B164" s="2" t="s">
        <v>205</v>
      </c>
      <c r="C164" s="2" t="s">
        <v>264</v>
      </c>
      <c r="D164" s="2" t="s">
        <v>265</v>
      </c>
      <c r="E164" s="4">
        <f t="shared" si="2"/>
        <v>0</v>
      </c>
    </row>
    <row r="165" spans="1:5" x14ac:dyDescent="0.25">
      <c r="A165">
        <v>40802</v>
      </c>
      <c r="B165" s="2" t="s">
        <v>205</v>
      </c>
      <c r="C165" s="2" t="s">
        <v>264</v>
      </c>
      <c r="D165" s="2" t="s">
        <v>265</v>
      </c>
      <c r="E165" s="4">
        <f t="shared" si="2"/>
        <v>0</v>
      </c>
    </row>
    <row r="166" spans="1:5" x14ac:dyDescent="0.25">
      <c r="A166">
        <v>40803</v>
      </c>
      <c r="B166" s="2" t="s">
        <v>205</v>
      </c>
      <c r="C166" s="2" t="s">
        <v>264</v>
      </c>
      <c r="D166" s="2" t="s">
        <v>266</v>
      </c>
      <c r="E166" s="4">
        <f t="shared" si="2"/>
        <v>0</v>
      </c>
    </row>
    <row r="167" spans="1:5" x14ac:dyDescent="0.25">
      <c r="A167">
        <v>40804</v>
      </c>
      <c r="B167" s="2" t="s">
        <v>205</v>
      </c>
      <c r="C167" s="2" t="s">
        <v>264</v>
      </c>
      <c r="D167" s="2" t="s">
        <v>267</v>
      </c>
      <c r="E167" s="4">
        <f t="shared" si="2"/>
        <v>0</v>
      </c>
    </row>
    <row r="168" spans="1:5" x14ac:dyDescent="0.25">
      <c r="A168">
        <v>40805</v>
      </c>
      <c r="B168" s="2" t="s">
        <v>205</v>
      </c>
      <c r="C168" s="2" t="s">
        <v>264</v>
      </c>
      <c r="D168" s="2" t="s">
        <v>268</v>
      </c>
      <c r="E168" s="4">
        <f t="shared" si="2"/>
        <v>0</v>
      </c>
    </row>
    <row r="169" spans="1:5" x14ac:dyDescent="0.25">
      <c r="A169">
        <v>40901</v>
      </c>
      <c r="B169" s="2" t="s">
        <v>205</v>
      </c>
      <c r="C169" s="2" t="s">
        <v>269</v>
      </c>
      <c r="D169" s="2" t="s">
        <v>270</v>
      </c>
      <c r="E169" s="4">
        <f t="shared" si="2"/>
        <v>0</v>
      </c>
    </row>
    <row r="170" spans="1:5" x14ac:dyDescent="0.25">
      <c r="A170">
        <v>40902</v>
      </c>
      <c r="B170" s="2" t="s">
        <v>205</v>
      </c>
      <c r="C170" s="2" t="s">
        <v>269</v>
      </c>
      <c r="D170" s="2" t="s">
        <v>271</v>
      </c>
      <c r="E170" s="4">
        <f t="shared" si="2"/>
        <v>0</v>
      </c>
    </row>
    <row r="171" spans="1:5" x14ac:dyDescent="0.25">
      <c r="A171">
        <v>40903</v>
      </c>
      <c r="B171" s="2" t="s">
        <v>205</v>
      </c>
      <c r="C171" s="2" t="s">
        <v>269</v>
      </c>
      <c r="D171" s="2" t="s">
        <v>272</v>
      </c>
      <c r="E171" s="4">
        <f t="shared" si="2"/>
        <v>0</v>
      </c>
    </row>
    <row r="172" spans="1:5" x14ac:dyDescent="0.25">
      <c r="A172">
        <v>40904</v>
      </c>
      <c r="B172" s="2" t="s">
        <v>205</v>
      </c>
      <c r="C172" s="2" t="s">
        <v>269</v>
      </c>
      <c r="D172" s="2" t="s">
        <v>273</v>
      </c>
      <c r="E172" s="4">
        <f t="shared" si="2"/>
        <v>0</v>
      </c>
    </row>
    <row r="173" spans="1:5" x14ac:dyDescent="0.25">
      <c r="A173">
        <v>40905</v>
      </c>
      <c r="B173" s="2" t="s">
        <v>205</v>
      </c>
      <c r="C173" s="2" t="s">
        <v>269</v>
      </c>
      <c r="D173" s="2" t="s">
        <v>274</v>
      </c>
      <c r="E173" s="4">
        <f t="shared" si="2"/>
        <v>0</v>
      </c>
    </row>
    <row r="174" spans="1:5" x14ac:dyDescent="0.25">
      <c r="A174">
        <v>41001</v>
      </c>
      <c r="B174" s="2" t="s">
        <v>205</v>
      </c>
      <c r="C174" s="2" t="s">
        <v>275</v>
      </c>
      <c r="D174" s="2" t="s">
        <v>276</v>
      </c>
      <c r="E174" s="4">
        <f t="shared" si="2"/>
        <v>0</v>
      </c>
    </row>
    <row r="175" spans="1:5" x14ac:dyDescent="0.25">
      <c r="A175">
        <v>41002</v>
      </c>
      <c r="B175" s="2" t="s">
        <v>205</v>
      </c>
      <c r="C175" s="2" t="s">
        <v>275</v>
      </c>
      <c r="D175" s="2" t="s">
        <v>277</v>
      </c>
      <c r="E175" s="4">
        <f t="shared" si="2"/>
        <v>0</v>
      </c>
    </row>
    <row r="176" spans="1:5" x14ac:dyDescent="0.25">
      <c r="A176">
        <v>41003</v>
      </c>
      <c r="B176" s="2" t="s">
        <v>205</v>
      </c>
      <c r="C176" s="2" t="s">
        <v>275</v>
      </c>
      <c r="D176" s="2" t="s">
        <v>278</v>
      </c>
      <c r="E176" s="4">
        <f t="shared" si="2"/>
        <v>0</v>
      </c>
    </row>
    <row r="177" spans="1:5" x14ac:dyDescent="0.25">
      <c r="A177">
        <v>41004</v>
      </c>
      <c r="B177" s="2" t="s">
        <v>205</v>
      </c>
      <c r="C177" s="2" t="s">
        <v>275</v>
      </c>
      <c r="D177" s="2" t="s">
        <v>279</v>
      </c>
      <c r="E177" s="4">
        <f t="shared" si="2"/>
        <v>0</v>
      </c>
    </row>
    <row r="178" spans="1:5" x14ac:dyDescent="0.25">
      <c r="A178">
        <v>41005</v>
      </c>
      <c r="B178" s="2" t="s">
        <v>205</v>
      </c>
      <c r="C178" s="2" t="s">
        <v>275</v>
      </c>
      <c r="D178" s="2" t="s">
        <v>280</v>
      </c>
      <c r="E178" s="4">
        <f t="shared" si="2"/>
        <v>0</v>
      </c>
    </row>
    <row r="179" spans="1:5" x14ac:dyDescent="0.25">
      <c r="A179">
        <v>41006</v>
      </c>
      <c r="B179" s="2" t="s">
        <v>205</v>
      </c>
      <c r="C179" s="2" t="s">
        <v>275</v>
      </c>
      <c r="D179" s="2" t="s">
        <v>281</v>
      </c>
      <c r="E179" s="4">
        <f t="shared" si="2"/>
        <v>0</v>
      </c>
    </row>
    <row r="180" spans="1:5" x14ac:dyDescent="0.25">
      <c r="A180">
        <v>41007</v>
      </c>
      <c r="B180" s="2" t="s">
        <v>205</v>
      </c>
      <c r="C180" s="2" t="s">
        <v>275</v>
      </c>
      <c r="D180" s="2" t="s">
        <v>282</v>
      </c>
      <c r="E180" s="4">
        <f t="shared" si="2"/>
        <v>0</v>
      </c>
    </row>
    <row r="181" spans="1:5" x14ac:dyDescent="0.25">
      <c r="A181">
        <v>41008</v>
      </c>
      <c r="B181" s="2" t="s">
        <v>205</v>
      </c>
      <c r="C181" s="2" t="s">
        <v>275</v>
      </c>
      <c r="D181" s="2" t="s">
        <v>283</v>
      </c>
      <c r="E181" s="4">
        <f t="shared" si="2"/>
        <v>0</v>
      </c>
    </row>
    <row r="182" spans="1:5" x14ac:dyDescent="0.25">
      <c r="A182">
        <v>41101</v>
      </c>
      <c r="B182" s="2" t="s">
        <v>205</v>
      </c>
      <c r="C182" s="2" t="s">
        <v>284</v>
      </c>
      <c r="D182" s="2" t="s">
        <v>285</v>
      </c>
      <c r="E182" s="4">
        <f t="shared" si="2"/>
        <v>0</v>
      </c>
    </row>
    <row r="183" spans="1:5" x14ac:dyDescent="0.25">
      <c r="A183">
        <v>41102</v>
      </c>
      <c r="B183" s="2" t="s">
        <v>205</v>
      </c>
      <c r="C183" s="2" t="s">
        <v>284</v>
      </c>
      <c r="D183" s="2" t="s">
        <v>286</v>
      </c>
      <c r="E183" s="4">
        <f t="shared" si="2"/>
        <v>0</v>
      </c>
    </row>
    <row r="184" spans="1:5" x14ac:dyDescent="0.25">
      <c r="A184">
        <v>41103</v>
      </c>
      <c r="B184" s="2" t="s">
        <v>205</v>
      </c>
      <c r="C184" s="2" t="s">
        <v>284</v>
      </c>
      <c r="D184" s="2" t="s">
        <v>287</v>
      </c>
      <c r="E184" s="4">
        <f t="shared" si="2"/>
        <v>0</v>
      </c>
    </row>
    <row r="185" spans="1:5" x14ac:dyDescent="0.25">
      <c r="A185">
        <v>41104</v>
      </c>
      <c r="B185" s="2" t="s">
        <v>205</v>
      </c>
      <c r="C185" s="2" t="s">
        <v>284</v>
      </c>
      <c r="D185" s="2" t="s">
        <v>284</v>
      </c>
      <c r="E185" s="4">
        <f t="shared" si="2"/>
        <v>0</v>
      </c>
    </row>
    <row r="186" spans="1:5" x14ac:dyDescent="0.25">
      <c r="A186">
        <v>41105</v>
      </c>
      <c r="B186" s="2" t="s">
        <v>205</v>
      </c>
      <c r="C186" s="2" t="s">
        <v>284</v>
      </c>
      <c r="D186" s="2" t="s">
        <v>281</v>
      </c>
      <c r="E186" s="4">
        <f t="shared" si="2"/>
        <v>0</v>
      </c>
    </row>
    <row r="187" spans="1:5" x14ac:dyDescent="0.25">
      <c r="A187">
        <v>41201</v>
      </c>
      <c r="B187" s="2" t="s">
        <v>205</v>
      </c>
      <c r="C187" s="2" t="s">
        <v>288</v>
      </c>
      <c r="D187" s="2" t="s">
        <v>289</v>
      </c>
      <c r="E187" s="4">
        <f t="shared" si="2"/>
        <v>0</v>
      </c>
    </row>
    <row r="188" spans="1:5" x14ac:dyDescent="0.25">
      <c r="A188">
        <v>41202</v>
      </c>
      <c r="B188" s="2" t="s">
        <v>205</v>
      </c>
      <c r="C188" s="2" t="s">
        <v>288</v>
      </c>
      <c r="D188" s="2" t="s">
        <v>290</v>
      </c>
      <c r="E188" s="4">
        <f t="shared" si="2"/>
        <v>0</v>
      </c>
    </row>
    <row r="189" spans="1:5" x14ac:dyDescent="0.25">
      <c r="A189">
        <v>41203</v>
      </c>
      <c r="B189" s="2" t="s">
        <v>205</v>
      </c>
      <c r="C189" s="2" t="s">
        <v>288</v>
      </c>
      <c r="D189" s="2" t="s">
        <v>291</v>
      </c>
      <c r="E189" s="4">
        <f t="shared" si="2"/>
        <v>0</v>
      </c>
    </row>
    <row r="190" spans="1:5" x14ac:dyDescent="0.25">
      <c r="A190">
        <v>41204</v>
      </c>
      <c r="B190" s="2" t="s">
        <v>205</v>
      </c>
      <c r="C190" s="2" t="s">
        <v>288</v>
      </c>
      <c r="D190" s="2" t="s">
        <v>176</v>
      </c>
      <c r="E190" s="4">
        <f t="shared" si="2"/>
        <v>0</v>
      </c>
    </row>
    <row r="191" spans="1:5" x14ac:dyDescent="0.25">
      <c r="A191">
        <v>41205</v>
      </c>
      <c r="B191" s="2" t="s">
        <v>205</v>
      </c>
      <c r="C191" s="2" t="s">
        <v>288</v>
      </c>
      <c r="D191" s="2" t="s">
        <v>288</v>
      </c>
      <c r="E191" s="4">
        <f t="shared" si="2"/>
        <v>0</v>
      </c>
    </row>
    <row r="192" spans="1:5" x14ac:dyDescent="0.25">
      <c r="A192">
        <v>41301</v>
      </c>
      <c r="B192" s="2" t="s">
        <v>205</v>
      </c>
      <c r="C192" s="2" t="s">
        <v>292</v>
      </c>
      <c r="D192" s="2" t="s">
        <v>293</v>
      </c>
      <c r="E192" s="4">
        <f t="shared" si="2"/>
        <v>0</v>
      </c>
    </row>
    <row r="193" spans="1:5" x14ac:dyDescent="0.25">
      <c r="A193">
        <v>41302</v>
      </c>
      <c r="B193" s="2" t="s">
        <v>205</v>
      </c>
      <c r="C193" s="2" t="s">
        <v>292</v>
      </c>
      <c r="D193" s="2" t="s">
        <v>294</v>
      </c>
      <c r="E193" s="4">
        <f t="shared" si="2"/>
        <v>0</v>
      </c>
    </row>
    <row r="194" spans="1:5" x14ac:dyDescent="0.25">
      <c r="A194">
        <v>41303</v>
      </c>
      <c r="B194" s="2" t="s">
        <v>205</v>
      </c>
      <c r="C194" s="2" t="s">
        <v>292</v>
      </c>
      <c r="D194" s="2" t="s">
        <v>295</v>
      </c>
      <c r="E194" s="4">
        <f t="shared" si="2"/>
        <v>0</v>
      </c>
    </row>
    <row r="195" spans="1:5" x14ac:dyDescent="0.25">
      <c r="A195">
        <v>41304</v>
      </c>
      <c r="B195" s="2" t="s">
        <v>205</v>
      </c>
      <c r="C195" s="2" t="s">
        <v>292</v>
      </c>
      <c r="D195" s="2" t="s">
        <v>119</v>
      </c>
      <c r="E195" s="4">
        <f t="shared" si="2"/>
        <v>0</v>
      </c>
    </row>
    <row r="196" spans="1:5" x14ac:dyDescent="0.25">
      <c r="A196">
        <v>41305</v>
      </c>
      <c r="B196" s="2" t="s">
        <v>205</v>
      </c>
      <c r="C196" s="2" t="s">
        <v>292</v>
      </c>
      <c r="D196" s="2" t="s">
        <v>296</v>
      </c>
      <c r="E196" s="4">
        <f t="shared" si="2"/>
        <v>0</v>
      </c>
    </row>
    <row r="197" spans="1:5" x14ac:dyDescent="0.25">
      <c r="A197">
        <v>41306</v>
      </c>
      <c r="B197" s="2" t="s">
        <v>205</v>
      </c>
      <c r="C197" s="2" t="s">
        <v>292</v>
      </c>
      <c r="D197" s="2" t="s">
        <v>297</v>
      </c>
      <c r="E197" s="4">
        <f t="shared" ref="E197:E260" si="3">SUM(F197:AEZ197)</f>
        <v>0</v>
      </c>
    </row>
    <row r="198" spans="1:5" x14ac:dyDescent="0.25">
      <c r="A198">
        <v>41307</v>
      </c>
      <c r="B198" s="2" t="s">
        <v>205</v>
      </c>
      <c r="C198" s="2" t="s">
        <v>292</v>
      </c>
      <c r="D198" s="2" t="s">
        <v>298</v>
      </c>
      <c r="E198" s="4">
        <f t="shared" si="3"/>
        <v>0</v>
      </c>
    </row>
    <row r="199" spans="1:5" x14ac:dyDescent="0.25">
      <c r="A199">
        <v>41308</v>
      </c>
      <c r="B199" s="2" t="s">
        <v>205</v>
      </c>
      <c r="C199" s="2" t="s">
        <v>292</v>
      </c>
      <c r="D199" s="2" t="s">
        <v>299</v>
      </c>
      <c r="E199" s="4">
        <f t="shared" si="3"/>
        <v>0</v>
      </c>
    </row>
    <row r="200" spans="1:5" x14ac:dyDescent="0.25">
      <c r="A200">
        <v>41309</v>
      </c>
      <c r="B200" s="2" t="s">
        <v>205</v>
      </c>
      <c r="C200" s="2" t="s">
        <v>292</v>
      </c>
      <c r="D200" s="2" t="s">
        <v>300</v>
      </c>
      <c r="E200" s="4">
        <f t="shared" si="3"/>
        <v>0</v>
      </c>
    </row>
    <row r="201" spans="1:5" x14ac:dyDescent="0.25">
      <c r="A201">
        <v>50101</v>
      </c>
      <c r="B201" s="2" t="s">
        <v>301</v>
      </c>
      <c r="C201" s="2" t="s">
        <v>302</v>
      </c>
      <c r="D201" s="2" t="s">
        <v>303</v>
      </c>
      <c r="E201" s="4">
        <f t="shared" si="3"/>
        <v>0</v>
      </c>
    </row>
    <row r="202" spans="1:5" x14ac:dyDescent="0.25">
      <c r="A202">
        <v>50103</v>
      </c>
      <c r="B202" s="2" t="s">
        <v>301</v>
      </c>
      <c r="C202" s="2" t="s">
        <v>302</v>
      </c>
      <c r="D202" s="2" t="s">
        <v>302</v>
      </c>
      <c r="E202" s="4">
        <f t="shared" si="3"/>
        <v>0</v>
      </c>
    </row>
    <row r="203" spans="1:5" x14ac:dyDescent="0.25">
      <c r="A203">
        <v>50104</v>
      </c>
      <c r="B203" s="2" t="s">
        <v>301</v>
      </c>
      <c r="C203" s="2" t="s">
        <v>302</v>
      </c>
      <c r="D203" s="2" t="s">
        <v>304</v>
      </c>
      <c r="E203" s="4">
        <f t="shared" si="3"/>
        <v>0</v>
      </c>
    </row>
    <row r="204" spans="1:5" x14ac:dyDescent="0.25">
      <c r="A204">
        <v>50105</v>
      </c>
      <c r="B204" s="2" t="s">
        <v>301</v>
      </c>
      <c r="C204" s="2" t="s">
        <v>302</v>
      </c>
      <c r="D204" s="2" t="s">
        <v>305</v>
      </c>
      <c r="E204" s="4">
        <f t="shared" si="3"/>
        <v>0</v>
      </c>
    </row>
    <row r="205" spans="1:5" x14ac:dyDescent="0.25">
      <c r="A205">
        <v>50106</v>
      </c>
      <c r="B205" s="2" t="s">
        <v>301</v>
      </c>
      <c r="C205" s="2" t="s">
        <v>302</v>
      </c>
      <c r="D205" s="2" t="s">
        <v>306</v>
      </c>
      <c r="E205" s="4">
        <f t="shared" si="3"/>
        <v>0</v>
      </c>
    </row>
    <row r="206" spans="1:5" x14ac:dyDescent="0.25">
      <c r="A206">
        <v>50109</v>
      </c>
      <c r="B206" s="2" t="s">
        <v>301</v>
      </c>
      <c r="C206" s="2" t="s">
        <v>302</v>
      </c>
      <c r="D206" s="2" t="s">
        <v>307</v>
      </c>
      <c r="E206" s="4">
        <f t="shared" si="3"/>
        <v>0</v>
      </c>
    </row>
    <row r="207" spans="1:5" x14ac:dyDescent="0.25">
      <c r="A207">
        <v>50110</v>
      </c>
      <c r="B207" s="2" t="s">
        <v>301</v>
      </c>
      <c r="C207" s="2" t="s">
        <v>302</v>
      </c>
      <c r="D207" s="2" t="s">
        <v>308</v>
      </c>
      <c r="E207" s="4">
        <f t="shared" si="3"/>
        <v>0</v>
      </c>
    </row>
    <row r="208" spans="1:5" x14ac:dyDescent="0.25">
      <c r="A208">
        <v>50111</v>
      </c>
      <c r="B208" s="2" t="s">
        <v>301</v>
      </c>
      <c r="C208" s="2" t="s">
        <v>302</v>
      </c>
      <c r="D208" s="2" t="s">
        <v>309</v>
      </c>
      <c r="E208" s="4">
        <f t="shared" si="3"/>
        <v>0</v>
      </c>
    </row>
    <row r="209" spans="1:5" x14ac:dyDescent="0.25">
      <c r="A209">
        <v>50112</v>
      </c>
      <c r="B209" s="2" t="s">
        <v>301</v>
      </c>
      <c r="C209" s="2" t="s">
        <v>302</v>
      </c>
      <c r="D209" s="2" t="s">
        <v>310</v>
      </c>
      <c r="E209" s="4">
        <f t="shared" si="3"/>
        <v>0</v>
      </c>
    </row>
    <row r="210" spans="1:5" x14ac:dyDescent="0.25">
      <c r="A210">
        <v>50102</v>
      </c>
      <c r="B210" s="2" t="s">
        <v>301</v>
      </c>
      <c r="C210" s="2" t="s">
        <v>302</v>
      </c>
      <c r="D210" s="2" t="s">
        <v>311</v>
      </c>
      <c r="E210" s="4">
        <f t="shared" si="3"/>
        <v>0</v>
      </c>
    </row>
    <row r="211" spans="1:5" x14ac:dyDescent="0.25">
      <c r="A211">
        <v>50102</v>
      </c>
      <c r="B211" s="2" t="s">
        <v>301</v>
      </c>
      <c r="C211" s="2" t="s">
        <v>302</v>
      </c>
      <c r="D211" s="2" t="s">
        <v>311</v>
      </c>
      <c r="E211" s="4">
        <f t="shared" si="3"/>
        <v>0</v>
      </c>
    </row>
    <row r="212" spans="1:5" x14ac:dyDescent="0.25">
      <c r="A212">
        <v>50101</v>
      </c>
      <c r="B212" s="2" t="s">
        <v>301</v>
      </c>
      <c r="C212" s="2" t="s">
        <v>302</v>
      </c>
      <c r="D212" s="2" t="s">
        <v>303</v>
      </c>
      <c r="E212" s="4">
        <f t="shared" si="3"/>
        <v>0</v>
      </c>
    </row>
    <row r="213" spans="1:5" x14ac:dyDescent="0.25">
      <c r="A213">
        <v>50110</v>
      </c>
      <c r="B213" s="2" t="s">
        <v>301</v>
      </c>
      <c r="C213" s="2" t="s">
        <v>302</v>
      </c>
      <c r="D213" s="2" t="s">
        <v>308</v>
      </c>
      <c r="E213" s="4">
        <f t="shared" si="3"/>
        <v>0</v>
      </c>
    </row>
    <row r="214" spans="1:5" x14ac:dyDescent="0.25">
      <c r="A214">
        <v>50103</v>
      </c>
      <c r="B214" s="2" t="s">
        <v>301</v>
      </c>
      <c r="C214" s="2" t="s">
        <v>302</v>
      </c>
      <c r="D214" s="2" t="s">
        <v>302</v>
      </c>
      <c r="E214" s="4">
        <f t="shared" si="3"/>
        <v>0</v>
      </c>
    </row>
    <row r="215" spans="1:5" ht="24" x14ac:dyDescent="0.25">
      <c r="A215">
        <v>50201</v>
      </c>
      <c r="B215" s="2" t="s">
        <v>301</v>
      </c>
      <c r="C215" s="2" t="s">
        <v>312</v>
      </c>
      <c r="D215" s="2" t="s">
        <v>313</v>
      </c>
      <c r="E215" s="4">
        <f t="shared" si="3"/>
        <v>0</v>
      </c>
    </row>
    <row r="216" spans="1:5" x14ac:dyDescent="0.25">
      <c r="A216">
        <v>50202</v>
      </c>
      <c r="B216" s="2" t="s">
        <v>301</v>
      </c>
      <c r="C216" s="2" t="s">
        <v>312</v>
      </c>
      <c r="D216" s="2" t="s">
        <v>314</v>
      </c>
      <c r="E216" s="4">
        <f t="shared" si="3"/>
        <v>0</v>
      </c>
    </row>
    <row r="217" spans="1:5" x14ac:dyDescent="0.25">
      <c r="A217">
        <v>50203</v>
      </c>
      <c r="B217" s="2" t="s">
        <v>301</v>
      </c>
      <c r="C217" s="2" t="s">
        <v>312</v>
      </c>
      <c r="D217" s="2" t="s">
        <v>315</v>
      </c>
      <c r="E217" s="4">
        <f t="shared" si="3"/>
        <v>0</v>
      </c>
    </row>
    <row r="218" spans="1:5" x14ac:dyDescent="0.25">
      <c r="A218">
        <v>50204</v>
      </c>
      <c r="B218" s="2" t="s">
        <v>301</v>
      </c>
      <c r="C218" s="2" t="s">
        <v>312</v>
      </c>
      <c r="D218" s="2" t="s">
        <v>312</v>
      </c>
      <c r="E218" s="4">
        <f t="shared" si="3"/>
        <v>0</v>
      </c>
    </row>
    <row r="219" spans="1:5" x14ac:dyDescent="0.25">
      <c r="A219">
        <v>50205</v>
      </c>
      <c r="B219" s="2" t="s">
        <v>301</v>
      </c>
      <c r="C219" s="2" t="s">
        <v>312</v>
      </c>
      <c r="D219" s="2" t="s">
        <v>316</v>
      </c>
      <c r="E219" s="4">
        <f t="shared" si="3"/>
        <v>0</v>
      </c>
    </row>
    <row r="220" spans="1:5" x14ac:dyDescent="0.25">
      <c r="A220">
        <v>50206</v>
      </c>
      <c r="B220" s="2" t="s">
        <v>301</v>
      </c>
      <c r="C220" s="2" t="s">
        <v>312</v>
      </c>
      <c r="D220" s="2" t="s">
        <v>317</v>
      </c>
      <c r="E220" s="4">
        <f t="shared" si="3"/>
        <v>0</v>
      </c>
    </row>
    <row r="221" spans="1:5" x14ac:dyDescent="0.25">
      <c r="A221">
        <v>50207</v>
      </c>
      <c r="B221" s="2" t="s">
        <v>301</v>
      </c>
      <c r="C221" s="2" t="s">
        <v>312</v>
      </c>
      <c r="D221" s="2" t="s">
        <v>318</v>
      </c>
      <c r="E221" s="4">
        <f t="shared" si="3"/>
        <v>0</v>
      </c>
    </row>
    <row r="222" spans="1:5" x14ac:dyDescent="0.25">
      <c r="A222">
        <v>50208</v>
      </c>
      <c r="B222" s="2" t="s">
        <v>301</v>
      </c>
      <c r="C222" s="2" t="s">
        <v>312</v>
      </c>
      <c r="D222" s="2" t="s">
        <v>319</v>
      </c>
      <c r="E222" s="4">
        <f t="shared" si="3"/>
        <v>0</v>
      </c>
    </row>
    <row r="223" spans="1:5" x14ac:dyDescent="0.25">
      <c r="A223">
        <v>50209</v>
      </c>
      <c r="B223" s="2" t="s">
        <v>301</v>
      </c>
      <c r="C223" s="2" t="s">
        <v>312</v>
      </c>
      <c r="D223" s="2" t="s">
        <v>320</v>
      </c>
      <c r="E223" s="4">
        <f t="shared" si="3"/>
        <v>0</v>
      </c>
    </row>
    <row r="224" spans="1:5" x14ac:dyDescent="0.25">
      <c r="A224">
        <v>50207</v>
      </c>
      <c r="B224" s="2" t="s">
        <v>301</v>
      </c>
      <c r="C224" s="2" t="s">
        <v>312</v>
      </c>
      <c r="D224" s="2" t="s">
        <v>318</v>
      </c>
      <c r="E224" s="4">
        <f t="shared" si="3"/>
        <v>0</v>
      </c>
    </row>
    <row r="225" spans="1:5" ht="24" x14ac:dyDescent="0.25">
      <c r="A225">
        <v>50201</v>
      </c>
      <c r="B225" s="2" t="s">
        <v>301</v>
      </c>
      <c r="C225" s="2" t="s">
        <v>312</v>
      </c>
      <c r="D225" s="2" t="s">
        <v>313</v>
      </c>
      <c r="E225" s="4">
        <f t="shared" si="3"/>
        <v>0</v>
      </c>
    </row>
    <row r="226" spans="1:5" x14ac:dyDescent="0.25">
      <c r="A226">
        <v>60101</v>
      </c>
      <c r="B226" s="2" t="s">
        <v>321</v>
      </c>
      <c r="C226" s="2" t="s">
        <v>322</v>
      </c>
      <c r="D226" s="2" t="s">
        <v>323</v>
      </c>
      <c r="E226" s="4">
        <f t="shared" si="3"/>
        <v>0</v>
      </c>
    </row>
    <row r="227" spans="1:5" x14ac:dyDescent="0.25">
      <c r="A227">
        <v>60102</v>
      </c>
      <c r="B227" s="2" t="s">
        <v>321</v>
      </c>
      <c r="C227" s="2" t="s">
        <v>322</v>
      </c>
      <c r="D227" s="2" t="s">
        <v>324</v>
      </c>
      <c r="E227" s="4">
        <f t="shared" si="3"/>
        <v>0</v>
      </c>
    </row>
    <row r="228" spans="1:5" x14ac:dyDescent="0.25">
      <c r="A228">
        <v>60103</v>
      </c>
      <c r="B228" s="2" t="s">
        <v>321</v>
      </c>
      <c r="C228" s="2" t="s">
        <v>322</v>
      </c>
      <c r="D228" s="2" t="s">
        <v>325</v>
      </c>
      <c r="E228" s="4">
        <f t="shared" si="3"/>
        <v>0</v>
      </c>
    </row>
    <row r="229" spans="1:5" x14ac:dyDescent="0.25">
      <c r="A229">
        <v>60104</v>
      </c>
      <c r="B229" s="2" t="s">
        <v>321</v>
      </c>
      <c r="C229" s="2" t="s">
        <v>322</v>
      </c>
      <c r="D229" s="2" t="s">
        <v>326</v>
      </c>
      <c r="E229" s="4">
        <f t="shared" si="3"/>
        <v>0</v>
      </c>
    </row>
    <row r="230" spans="1:5" x14ac:dyDescent="0.25">
      <c r="A230">
        <v>60105</v>
      </c>
      <c r="B230" s="2" t="s">
        <v>321</v>
      </c>
      <c r="C230" s="2" t="s">
        <v>322</v>
      </c>
      <c r="D230" s="2" t="s">
        <v>327</v>
      </c>
      <c r="E230" s="4">
        <f t="shared" si="3"/>
        <v>0</v>
      </c>
    </row>
    <row r="231" spans="1:5" x14ac:dyDescent="0.25">
      <c r="A231">
        <v>60201</v>
      </c>
      <c r="B231" s="2" t="s">
        <v>321</v>
      </c>
      <c r="C231" s="2" t="s">
        <v>328</v>
      </c>
      <c r="D231" s="2" t="s">
        <v>329</v>
      </c>
      <c r="E231" s="4">
        <f t="shared" si="3"/>
        <v>0</v>
      </c>
    </row>
    <row r="232" spans="1:5" x14ac:dyDescent="0.25">
      <c r="A232">
        <v>60202</v>
      </c>
      <c r="B232" s="2" t="s">
        <v>321</v>
      </c>
      <c r="C232" s="2" t="s">
        <v>328</v>
      </c>
      <c r="D232" s="2" t="s">
        <v>330</v>
      </c>
      <c r="E232" s="4">
        <f t="shared" si="3"/>
        <v>0</v>
      </c>
    </row>
    <row r="233" spans="1:5" x14ac:dyDescent="0.25">
      <c r="A233">
        <v>60203</v>
      </c>
      <c r="B233" s="2" t="s">
        <v>321</v>
      </c>
      <c r="C233" s="2" t="s">
        <v>328</v>
      </c>
      <c r="D233" s="2" t="s">
        <v>331</v>
      </c>
      <c r="E233" s="4">
        <f t="shared" si="3"/>
        <v>0</v>
      </c>
    </row>
    <row r="234" spans="1:5" x14ac:dyDescent="0.25">
      <c r="A234">
        <v>60204</v>
      </c>
      <c r="B234" s="2" t="s">
        <v>321</v>
      </c>
      <c r="C234" s="2" t="s">
        <v>328</v>
      </c>
      <c r="D234" s="2" t="s">
        <v>332</v>
      </c>
      <c r="E234" s="4">
        <f t="shared" si="3"/>
        <v>0</v>
      </c>
    </row>
    <row r="235" spans="1:5" x14ac:dyDescent="0.25">
      <c r="A235">
        <v>60205</v>
      </c>
      <c r="B235" s="2" t="s">
        <v>321</v>
      </c>
      <c r="C235" s="2" t="s">
        <v>328</v>
      </c>
      <c r="D235" s="2" t="s">
        <v>333</v>
      </c>
      <c r="E235" s="4">
        <f t="shared" si="3"/>
        <v>0</v>
      </c>
    </row>
    <row r="236" spans="1:5" x14ac:dyDescent="0.25">
      <c r="A236">
        <v>60206</v>
      </c>
      <c r="B236" s="2" t="s">
        <v>321</v>
      </c>
      <c r="C236" s="2" t="s">
        <v>328</v>
      </c>
      <c r="D236" s="2" t="s">
        <v>334</v>
      </c>
      <c r="E236" s="4">
        <f t="shared" si="3"/>
        <v>0</v>
      </c>
    </row>
    <row r="237" spans="1:5" x14ac:dyDescent="0.25">
      <c r="A237">
        <v>60207</v>
      </c>
      <c r="B237" s="2" t="s">
        <v>321</v>
      </c>
      <c r="C237" s="2" t="s">
        <v>328</v>
      </c>
      <c r="D237" s="2" t="s">
        <v>335</v>
      </c>
      <c r="E237" s="4">
        <f t="shared" si="3"/>
        <v>0</v>
      </c>
    </row>
    <row r="238" spans="1:5" x14ac:dyDescent="0.25">
      <c r="A238">
        <v>60301</v>
      </c>
      <c r="B238" s="2" t="s">
        <v>321</v>
      </c>
      <c r="C238" s="2" t="s">
        <v>336</v>
      </c>
      <c r="D238" s="2" t="s">
        <v>337</v>
      </c>
      <c r="E238" s="4">
        <f t="shared" si="3"/>
        <v>0</v>
      </c>
    </row>
    <row r="239" spans="1:5" x14ac:dyDescent="0.25">
      <c r="A239">
        <v>60302</v>
      </c>
      <c r="B239" s="2" t="s">
        <v>321</v>
      </c>
      <c r="C239" s="2" t="s">
        <v>336</v>
      </c>
      <c r="D239" s="2" t="s">
        <v>338</v>
      </c>
      <c r="E239" s="4">
        <f t="shared" si="3"/>
        <v>0</v>
      </c>
    </row>
    <row r="240" spans="1:5" x14ac:dyDescent="0.25">
      <c r="A240">
        <v>60303</v>
      </c>
      <c r="B240" s="2" t="s">
        <v>321</v>
      </c>
      <c r="C240" s="2" t="s">
        <v>336</v>
      </c>
      <c r="D240" s="2" t="s">
        <v>339</v>
      </c>
      <c r="E240" s="4">
        <f t="shared" si="3"/>
        <v>0</v>
      </c>
    </row>
    <row r="241" spans="1:5" x14ac:dyDescent="0.25">
      <c r="A241">
        <v>60304</v>
      </c>
      <c r="B241" s="2" t="s">
        <v>321</v>
      </c>
      <c r="C241" s="2" t="s">
        <v>336</v>
      </c>
      <c r="D241" s="2" t="s">
        <v>340</v>
      </c>
      <c r="E241" s="4">
        <f t="shared" si="3"/>
        <v>0</v>
      </c>
    </row>
    <row r="242" spans="1:5" x14ac:dyDescent="0.25">
      <c r="A242">
        <v>60305</v>
      </c>
      <c r="B242" s="2" t="s">
        <v>321</v>
      </c>
      <c r="C242" s="2" t="s">
        <v>336</v>
      </c>
      <c r="D242" s="2" t="s">
        <v>324</v>
      </c>
      <c r="E242" s="4">
        <f t="shared" si="3"/>
        <v>0</v>
      </c>
    </row>
    <row r="243" spans="1:5" x14ac:dyDescent="0.25">
      <c r="A243">
        <v>60306</v>
      </c>
      <c r="B243" s="2" t="s">
        <v>321</v>
      </c>
      <c r="C243" s="2" t="s">
        <v>336</v>
      </c>
      <c r="D243" s="2" t="s">
        <v>341</v>
      </c>
      <c r="E243" s="4">
        <f t="shared" si="3"/>
        <v>0</v>
      </c>
    </row>
    <row r="244" spans="1:5" x14ac:dyDescent="0.25">
      <c r="A244">
        <v>60307</v>
      </c>
      <c r="B244" s="2" t="s">
        <v>321</v>
      </c>
      <c r="C244" s="2" t="s">
        <v>336</v>
      </c>
      <c r="D244" s="2" t="s">
        <v>342</v>
      </c>
      <c r="E244" s="4">
        <f t="shared" si="3"/>
        <v>0</v>
      </c>
    </row>
    <row r="245" spans="1:5" x14ac:dyDescent="0.25">
      <c r="A245">
        <v>60308</v>
      </c>
      <c r="B245" s="2" t="s">
        <v>321</v>
      </c>
      <c r="C245" s="2" t="s">
        <v>336</v>
      </c>
      <c r="D245" s="2" t="s">
        <v>343</v>
      </c>
      <c r="E245" s="4">
        <f t="shared" si="3"/>
        <v>0</v>
      </c>
    </row>
    <row r="246" spans="1:5" x14ac:dyDescent="0.25">
      <c r="A246">
        <v>60309</v>
      </c>
      <c r="B246" s="2" t="s">
        <v>321</v>
      </c>
      <c r="C246" s="2" t="s">
        <v>336</v>
      </c>
      <c r="D246" s="2" t="s">
        <v>344</v>
      </c>
      <c r="E246" s="4">
        <f t="shared" si="3"/>
        <v>0</v>
      </c>
    </row>
    <row r="247" spans="1:5" x14ac:dyDescent="0.25">
      <c r="A247">
        <v>60401</v>
      </c>
      <c r="B247" s="2" t="s">
        <v>321</v>
      </c>
      <c r="C247" s="2" t="s">
        <v>345</v>
      </c>
      <c r="D247" s="2" t="s">
        <v>346</v>
      </c>
      <c r="E247" s="4">
        <f t="shared" si="3"/>
        <v>0</v>
      </c>
    </row>
    <row r="248" spans="1:5" x14ac:dyDescent="0.25">
      <c r="A248">
        <v>60402</v>
      </c>
      <c r="B248" s="2" t="s">
        <v>321</v>
      </c>
      <c r="C248" s="2" t="s">
        <v>345</v>
      </c>
      <c r="D248" s="2" t="s">
        <v>347</v>
      </c>
      <c r="E248" s="4">
        <f t="shared" si="3"/>
        <v>0</v>
      </c>
    </row>
    <row r="249" spans="1:5" x14ac:dyDescent="0.25">
      <c r="A249">
        <v>60403</v>
      </c>
      <c r="B249" s="2" t="s">
        <v>321</v>
      </c>
      <c r="C249" s="2" t="s">
        <v>345</v>
      </c>
      <c r="D249" s="2" t="s">
        <v>348</v>
      </c>
      <c r="E249" s="4">
        <f t="shared" si="3"/>
        <v>0</v>
      </c>
    </row>
    <row r="250" spans="1:5" x14ac:dyDescent="0.25">
      <c r="A250">
        <v>60404</v>
      </c>
      <c r="B250" s="2" t="s">
        <v>321</v>
      </c>
      <c r="C250" s="2" t="s">
        <v>345</v>
      </c>
      <c r="D250" s="2" t="s">
        <v>138</v>
      </c>
      <c r="E250" s="4">
        <f t="shared" si="3"/>
        <v>0</v>
      </c>
    </row>
    <row r="251" spans="1:5" x14ac:dyDescent="0.25">
      <c r="A251">
        <v>60405</v>
      </c>
      <c r="B251" s="2" t="s">
        <v>321</v>
      </c>
      <c r="C251" s="2" t="s">
        <v>345</v>
      </c>
      <c r="D251" s="2" t="s">
        <v>349</v>
      </c>
      <c r="E251" s="4">
        <f t="shared" si="3"/>
        <v>0</v>
      </c>
    </row>
    <row r="252" spans="1:5" x14ac:dyDescent="0.25">
      <c r="A252">
        <v>60406</v>
      </c>
      <c r="B252" s="2" t="s">
        <v>321</v>
      </c>
      <c r="C252" s="2" t="s">
        <v>345</v>
      </c>
      <c r="D252" s="2" t="s">
        <v>350</v>
      </c>
      <c r="E252" s="4">
        <f t="shared" si="3"/>
        <v>0</v>
      </c>
    </row>
    <row r="253" spans="1:5" x14ac:dyDescent="0.25">
      <c r="A253">
        <v>60407</v>
      </c>
      <c r="B253" s="2" t="s">
        <v>321</v>
      </c>
      <c r="C253" s="2" t="s">
        <v>345</v>
      </c>
      <c r="D253" s="2" t="s">
        <v>351</v>
      </c>
      <c r="E253" s="4">
        <f t="shared" si="3"/>
        <v>0</v>
      </c>
    </row>
    <row r="254" spans="1:5" x14ac:dyDescent="0.25">
      <c r="A254">
        <v>60501</v>
      </c>
      <c r="B254" s="2" t="s">
        <v>321</v>
      </c>
      <c r="C254" s="2" t="s">
        <v>352</v>
      </c>
      <c r="D254" s="2" t="s">
        <v>353</v>
      </c>
      <c r="E254" s="4">
        <f t="shared" si="3"/>
        <v>0</v>
      </c>
    </row>
    <row r="255" spans="1:5" x14ac:dyDescent="0.25">
      <c r="A255">
        <v>60502</v>
      </c>
      <c r="B255" s="2" t="s">
        <v>321</v>
      </c>
      <c r="C255" s="2" t="s">
        <v>352</v>
      </c>
      <c r="D255" s="2" t="s">
        <v>125</v>
      </c>
      <c r="E255" s="4">
        <f t="shared" si="3"/>
        <v>0</v>
      </c>
    </row>
    <row r="256" spans="1:5" x14ac:dyDescent="0.25">
      <c r="A256">
        <v>60503</v>
      </c>
      <c r="B256" s="2" t="s">
        <v>321</v>
      </c>
      <c r="C256" s="2" t="s">
        <v>352</v>
      </c>
      <c r="D256" s="2" t="s">
        <v>354</v>
      </c>
      <c r="E256" s="4">
        <f t="shared" si="3"/>
        <v>0</v>
      </c>
    </row>
    <row r="257" spans="1:5" x14ac:dyDescent="0.25">
      <c r="A257">
        <v>60504</v>
      </c>
      <c r="B257" s="2" t="s">
        <v>321</v>
      </c>
      <c r="C257" s="2" t="s">
        <v>352</v>
      </c>
      <c r="D257" s="2" t="s">
        <v>355</v>
      </c>
      <c r="E257" s="4">
        <f t="shared" si="3"/>
        <v>0</v>
      </c>
    </row>
    <row r="258" spans="1:5" x14ac:dyDescent="0.25">
      <c r="A258">
        <v>60505</v>
      </c>
      <c r="B258" s="2" t="s">
        <v>321</v>
      </c>
      <c r="C258" s="2" t="s">
        <v>352</v>
      </c>
      <c r="D258" s="2" t="s">
        <v>356</v>
      </c>
      <c r="E258" s="4">
        <f t="shared" si="3"/>
        <v>0</v>
      </c>
    </row>
    <row r="259" spans="1:5" x14ac:dyDescent="0.25">
      <c r="A259">
        <v>60506</v>
      </c>
      <c r="B259" s="2" t="s">
        <v>321</v>
      </c>
      <c r="C259" s="2" t="s">
        <v>352</v>
      </c>
      <c r="D259" s="2" t="s">
        <v>357</v>
      </c>
      <c r="E259" s="4">
        <f t="shared" si="3"/>
        <v>0</v>
      </c>
    </row>
    <row r="260" spans="1:5" x14ac:dyDescent="0.25">
      <c r="A260">
        <v>60507</v>
      </c>
      <c r="B260" s="2" t="s">
        <v>321</v>
      </c>
      <c r="C260" s="2" t="s">
        <v>352</v>
      </c>
      <c r="D260" s="2" t="s">
        <v>358</v>
      </c>
      <c r="E260" s="4">
        <f t="shared" si="3"/>
        <v>0</v>
      </c>
    </row>
    <row r="261" spans="1:5" x14ac:dyDescent="0.25">
      <c r="A261">
        <v>60601</v>
      </c>
      <c r="B261" s="2" t="s">
        <v>321</v>
      </c>
      <c r="C261" s="2" t="s">
        <v>359</v>
      </c>
      <c r="D261" s="2" t="s">
        <v>360</v>
      </c>
      <c r="E261" s="4">
        <f t="shared" ref="E261:E324" si="4">SUM(F261:AEZ261)</f>
        <v>0</v>
      </c>
    </row>
    <row r="262" spans="1:5" x14ac:dyDescent="0.25">
      <c r="A262">
        <v>60602</v>
      </c>
      <c r="B262" s="2" t="s">
        <v>321</v>
      </c>
      <c r="C262" s="2" t="s">
        <v>359</v>
      </c>
      <c r="D262" s="2" t="s">
        <v>361</v>
      </c>
      <c r="E262" s="4">
        <f t="shared" si="4"/>
        <v>0</v>
      </c>
    </row>
    <row r="263" spans="1:5" x14ac:dyDescent="0.25">
      <c r="A263">
        <v>60603</v>
      </c>
      <c r="B263" s="2" t="s">
        <v>321</v>
      </c>
      <c r="C263" s="2" t="s">
        <v>359</v>
      </c>
      <c r="D263" s="2" t="s">
        <v>362</v>
      </c>
      <c r="E263" s="4">
        <f t="shared" si="4"/>
        <v>0</v>
      </c>
    </row>
    <row r="264" spans="1:5" x14ac:dyDescent="0.25">
      <c r="A264">
        <v>60604</v>
      </c>
      <c r="B264" s="2" t="s">
        <v>321</v>
      </c>
      <c r="C264" s="2" t="s">
        <v>359</v>
      </c>
      <c r="D264" s="2" t="s">
        <v>363</v>
      </c>
      <c r="E264" s="4">
        <f t="shared" si="4"/>
        <v>0</v>
      </c>
    </row>
    <row r="265" spans="1:5" x14ac:dyDescent="0.25">
      <c r="A265">
        <v>60605</v>
      </c>
      <c r="B265" s="2" t="s">
        <v>321</v>
      </c>
      <c r="C265" s="2" t="s">
        <v>359</v>
      </c>
      <c r="D265" s="2" t="s">
        <v>364</v>
      </c>
      <c r="E265" s="4">
        <f t="shared" si="4"/>
        <v>0</v>
      </c>
    </row>
    <row r="266" spans="1:5" x14ac:dyDescent="0.25">
      <c r="A266">
        <v>60606</v>
      </c>
      <c r="B266" s="2" t="s">
        <v>321</v>
      </c>
      <c r="C266" s="2" t="s">
        <v>359</v>
      </c>
      <c r="D266" s="2" t="s">
        <v>365</v>
      </c>
      <c r="E266" s="4">
        <f t="shared" si="4"/>
        <v>0</v>
      </c>
    </row>
    <row r="267" spans="1:5" x14ac:dyDescent="0.25">
      <c r="A267">
        <v>60607</v>
      </c>
      <c r="B267" s="2" t="s">
        <v>321</v>
      </c>
      <c r="C267" s="2" t="s">
        <v>359</v>
      </c>
      <c r="D267" s="2" t="s">
        <v>366</v>
      </c>
      <c r="E267" s="4">
        <f t="shared" si="4"/>
        <v>0</v>
      </c>
    </row>
    <row r="268" spans="1:5" x14ac:dyDescent="0.25">
      <c r="A268">
        <v>60608</v>
      </c>
      <c r="B268" s="2" t="s">
        <v>321</v>
      </c>
      <c r="C268" s="2" t="s">
        <v>359</v>
      </c>
      <c r="D268" s="2" t="s">
        <v>367</v>
      </c>
      <c r="E268" s="4">
        <f t="shared" si="4"/>
        <v>0</v>
      </c>
    </row>
    <row r="269" spans="1:5" x14ac:dyDescent="0.25">
      <c r="A269">
        <v>60701</v>
      </c>
      <c r="B269" s="2" t="s">
        <v>321</v>
      </c>
      <c r="C269" s="2" t="s">
        <v>368</v>
      </c>
      <c r="D269" s="2" t="s">
        <v>369</v>
      </c>
      <c r="E269" s="4">
        <f t="shared" si="4"/>
        <v>0</v>
      </c>
    </row>
    <row r="270" spans="1:5" x14ac:dyDescent="0.25">
      <c r="A270">
        <v>60702</v>
      </c>
      <c r="B270" s="2" t="s">
        <v>321</v>
      </c>
      <c r="C270" s="2" t="s">
        <v>368</v>
      </c>
      <c r="D270" s="2" t="s">
        <v>370</v>
      </c>
      <c r="E270" s="4">
        <f t="shared" si="4"/>
        <v>0</v>
      </c>
    </row>
    <row r="271" spans="1:5" x14ac:dyDescent="0.25">
      <c r="A271">
        <v>60703</v>
      </c>
      <c r="B271" s="2" t="s">
        <v>321</v>
      </c>
      <c r="C271" s="2" t="s">
        <v>368</v>
      </c>
      <c r="D271" s="2" t="s">
        <v>371</v>
      </c>
      <c r="E271" s="4">
        <f t="shared" si="4"/>
        <v>0</v>
      </c>
    </row>
    <row r="272" spans="1:5" x14ac:dyDescent="0.25">
      <c r="A272">
        <v>60704</v>
      </c>
      <c r="B272" s="2" t="s">
        <v>321</v>
      </c>
      <c r="C272" s="2" t="s">
        <v>368</v>
      </c>
      <c r="D272" s="2" t="s">
        <v>372</v>
      </c>
      <c r="E272" s="4">
        <f t="shared" si="4"/>
        <v>0</v>
      </c>
    </row>
    <row r="273" spans="1:5" x14ac:dyDescent="0.25">
      <c r="A273">
        <v>60705</v>
      </c>
      <c r="B273" s="2" t="s">
        <v>321</v>
      </c>
      <c r="C273" s="2" t="s">
        <v>368</v>
      </c>
      <c r="D273" s="2" t="s">
        <v>373</v>
      </c>
      <c r="E273" s="4">
        <f t="shared" si="4"/>
        <v>0</v>
      </c>
    </row>
    <row r="274" spans="1:5" x14ac:dyDescent="0.25">
      <c r="A274">
        <v>70101</v>
      </c>
      <c r="B274" s="2" t="s">
        <v>374</v>
      </c>
      <c r="C274" s="2" t="s">
        <v>375</v>
      </c>
      <c r="D274" s="2" t="s">
        <v>376</v>
      </c>
      <c r="E274" s="4">
        <f t="shared" si="4"/>
        <v>0</v>
      </c>
    </row>
    <row r="275" spans="1:5" x14ac:dyDescent="0.25">
      <c r="A275">
        <v>70102</v>
      </c>
      <c r="B275" s="2" t="s">
        <v>374</v>
      </c>
      <c r="C275" s="2" t="s">
        <v>375</v>
      </c>
      <c r="D275" s="2" t="s">
        <v>377</v>
      </c>
      <c r="E275" s="4">
        <f t="shared" si="4"/>
        <v>0</v>
      </c>
    </row>
    <row r="276" spans="1:5" x14ac:dyDescent="0.25">
      <c r="A276">
        <v>70103</v>
      </c>
      <c r="B276" s="2" t="s">
        <v>374</v>
      </c>
      <c r="C276" s="2" t="s">
        <v>375</v>
      </c>
      <c r="D276" s="2" t="s">
        <v>378</v>
      </c>
      <c r="E276" s="4">
        <f t="shared" si="4"/>
        <v>0</v>
      </c>
    </row>
    <row r="277" spans="1:5" x14ac:dyDescent="0.25">
      <c r="A277">
        <v>70104</v>
      </c>
      <c r="B277" s="2" t="s">
        <v>374</v>
      </c>
      <c r="C277" s="2" t="s">
        <v>375</v>
      </c>
      <c r="D277" s="2" t="s">
        <v>379</v>
      </c>
      <c r="E277" s="4">
        <f t="shared" si="4"/>
        <v>0</v>
      </c>
    </row>
    <row r="278" spans="1:5" x14ac:dyDescent="0.25">
      <c r="A278">
        <v>70105</v>
      </c>
      <c r="B278" s="2" t="s">
        <v>374</v>
      </c>
      <c r="C278" s="2" t="s">
        <v>375</v>
      </c>
      <c r="D278" s="2" t="s">
        <v>380</v>
      </c>
      <c r="E278" s="4">
        <f t="shared" si="4"/>
        <v>0</v>
      </c>
    </row>
    <row r="279" spans="1:5" x14ac:dyDescent="0.25">
      <c r="A279">
        <v>70106</v>
      </c>
      <c r="B279" s="2" t="s">
        <v>374</v>
      </c>
      <c r="C279" s="2" t="s">
        <v>375</v>
      </c>
      <c r="D279" s="2" t="s">
        <v>381</v>
      </c>
      <c r="E279" s="4">
        <f t="shared" si="4"/>
        <v>0</v>
      </c>
    </row>
    <row r="280" spans="1:5" x14ac:dyDescent="0.25">
      <c r="A280">
        <v>70107</v>
      </c>
      <c r="B280" s="2" t="s">
        <v>374</v>
      </c>
      <c r="C280" s="2" t="s">
        <v>375</v>
      </c>
      <c r="D280" s="2" t="s">
        <v>382</v>
      </c>
      <c r="E280" s="4">
        <f t="shared" si="4"/>
        <v>0</v>
      </c>
    </row>
    <row r="281" spans="1:5" x14ac:dyDescent="0.25">
      <c r="A281">
        <v>70108</v>
      </c>
      <c r="B281" s="2" t="s">
        <v>374</v>
      </c>
      <c r="C281" s="2" t="s">
        <v>375</v>
      </c>
      <c r="D281" s="2" t="s">
        <v>383</v>
      </c>
      <c r="E281" s="4">
        <f t="shared" si="4"/>
        <v>0</v>
      </c>
    </row>
    <row r="282" spans="1:5" x14ac:dyDescent="0.25">
      <c r="A282">
        <v>70109</v>
      </c>
      <c r="B282" s="2" t="s">
        <v>374</v>
      </c>
      <c r="C282" s="2" t="s">
        <v>375</v>
      </c>
      <c r="D282" s="2" t="s">
        <v>384</v>
      </c>
      <c r="E282" s="4">
        <f t="shared" si="4"/>
        <v>0</v>
      </c>
    </row>
    <row r="283" spans="1:5" x14ac:dyDescent="0.25">
      <c r="A283">
        <v>70110</v>
      </c>
      <c r="B283" s="2" t="s">
        <v>374</v>
      </c>
      <c r="C283" s="2" t="s">
        <v>375</v>
      </c>
      <c r="D283" s="2" t="s">
        <v>385</v>
      </c>
      <c r="E283" s="4">
        <f t="shared" si="4"/>
        <v>0</v>
      </c>
    </row>
    <row r="284" spans="1:5" x14ac:dyDescent="0.25">
      <c r="A284">
        <v>70201</v>
      </c>
      <c r="B284" s="2" t="s">
        <v>374</v>
      </c>
      <c r="C284" s="2" t="s">
        <v>105</v>
      </c>
      <c r="D284" s="2" t="s">
        <v>386</v>
      </c>
      <c r="E284" s="4">
        <f t="shared" si="4"/>
        <v>0</v>
      </c>
    </row>
    <row r="285" spans="1:5" x14ac:dyDescent="0.25">
      <c r="A285">
        <v>70202</v>
      </c>
      <c r="B285" s="2" t="s">
        <v>374</v>
      </c>
      <c r="C285" s="2" t="s">
        <v>105</v>
      </c>
      <c r="D285" s="2" t="s">
        <v>387</v>
      </c>
      <c r="E285" s="4">
        <f t="shared" si="4"/>
        <v>0</v>
      </c>
    </row>
    <row r="286" spans="1:5" x14ac:dyDescent="0.25">
      <c r="A286">
        <v>70203</v>
      </c>
      <c r="B286" s="2" t="s">
        <v>374</v>
      </c>
      <c r="C286" s="2" t="s">
        <v>105</v>
      </c>
      <c r="D286" s="2" t="s">
        <v>388</v>
      </c>
      <c r="E286" s="4">
        <f t="shared" si="4"/>
        <v>0</v>
      </c>
    </row>
    <row r="287" spans="1:5" x14ac:dyDescent="0.25">
      <c r="A287">
        <v>70204</v>
      </c>
      <c r="B287" s="2" t="s">
        <v>374</v>
      </c>
      <c r="C287" s="2" t="s">
        <v>105</v>
      </c>
      <c r="D287" s="2" t="s">
        <v>389</v>
      </c>
      <c r="E287" s="4">
        <f t="shared" si="4"/>
        <v>0</v>
      </c>
    </row>
    <row r="288" spans="1:5" x14ac:dyDescent="0.25">
      <c r="A288">
        <v>70205</v>
      </c>
      <c r="B288" s="2" t="s">
        <v>374</v>
      </c>
      <c r="C288" s="2" t="s">
        <v>105</v>
      </c>
      <c r="D288" s="2" t="s">
        <v>390</v>
      </c>
      <c r="E288" s="4">
        <f t="shared" si="4"/>
        <v>0</v>
      </c>
    </row>
    <row r="289" spans="1:5" x14ac:dyDescent="0.25">
      <c r="A289">
        <v>70206</v>
      </c>
      <c r="B289" s="2" t="s">
        <v>374</v>
      </c>
      <c r="C289" s="2" t="s">
        <v>105</v>
      </c>
      <c r="D289" s="2" t="s">
        <v>391</v>
      </c>
      <c r="E289" s="4">
        <f t="shared" si="4"/>
        <v>0</v>
      </c>
    </row>
    <row r="290" spans="1:5" x14ac:dyDescent="0.25">
      <c r="A290">
        <v>70207</v>
      </c>
      <c r="B290" s="2" t="s">
        <v>374</v>
      </c>
      <c r="C290" s="2" t="s">
        <v>105</v>
      </c>
      <c r="D290" s="2" t="s">
        <v>392</v>
      </c>
      <c r="E290" s="4">
        <f t="shared" si="4"/>
        <v>0</v>
      </c>
    </row>
    <row r="291" spans="1:5" x14ac:dyDescent="0.25">
      <c r="A291">
        <v>70208</v>
      </c>
      <c r="B291" s="2" t="s">
        <v>374</v>
      </c>
      <c r="C291" s="2" t="s">
        <v>105</v>
      </c>
      <c r="D291" s="2" t="s">
        <v>364</v>
      </c>
      <c r="E291" s="4">
        <f t="shared" si="4"/>
        <v>0</v>
      </c>
    </row>
    <row r="292" spans="1:5" x14ac:dyDescent="0.25">
      <c r="A292">
        <v>70209</v>
      </c>
      <c r="B292" s="2" t="s">
        <v>374</v>
      </c>
      <c r="C292" s="2" t="s">
        <v>105</v>
      </c>
      <c r="D292" s="2" t="s">
        <v>393</v>
      </c>
      <c r="E292" s="4">
        <f t="shared" si="4"/>
        <v>0</v>
      </c>
    </row>
    <row r="293" spans="1:5" x14ac:dyDescent="0.25">
      <c r="A293">
        <v>70210</v>
      </c>
      <c r="B293" s="2" t="s">
        <v>374</v>
      </c>
      <c r="C293" s="2" t="s">
        <v>105</v>
      </c>
      <c r="D293" s="2" t="s">
        <v>394</v>
      </c>
      <c r="E293" s="4">
        <f t="shared" si="4"/>
        <v>0</v>
      </c>
    </row>
    <row r="294" spans="1:5" x14ac:dyDescent="0.25">
      <c r="A294">
        <v>70211</v>
      </c>
      <c r="B294" s="2" t="s">
        <v>374</v>
      </c>
      <c r="C294" s="2" t="s">
        <v>105</v>
      </c>
      <c r="D294" s="2" t="s">
        <v>395</v>
      </c>
      <c r="E294" s="4">
        <f t="shared" si="4"/>
        <v>0</v>
      </c>
    </row>
    <row r="295" spans="1:5" x14ac:dyDescent="0.25">
      <c r="A295">
        <v>70212</v>
      </c>
      <c r="B295" s="2" t="s">
        <v>374</v>
      </c>
      <c r="C295" s="2" t="s">
        <v>105</v>
      </c>
      <c r="D295" s="2" t="s">
        <v>396</v>
      </c>
      <c r="E295" s="4">
        <f t="shared" si="4"/>
        <v>0</v>
      </c>
    </row>
    <row r="296" spans="1:5" x14ac:dyDescent="0.25">
      <c r="A296">
        <v>70213</v>
      </c>
      <c r="B296" s="2" t="s">
        <v>374</v>
      </c>
      <c r="C296" s="2" t="s">
        <v>105</v>
      </c>
      <c r="D296" s="2" t="s">
        <v>397</v>
      </c>
      <c r="E296" s="4">
        <f t="shared" si="4"/>
        <v>0</v>
      </c>
    </row>
    <row r="297" spans="1:5" x14ac:dyDescent="0.25">
      <c r="A297">
        <v>70214</v>
      </c>
      <c r="B297" s="2" t="s">
        <v>374</v>
      </c>
      <c r="C297" s="2" t="s">
        <v>105</v>
      </c>
      <c r="D297" s="2" t="s">
        <v>398</v>
      </c>
      <c r="E297" s="4">
        <f t="shared" si="4"/>
        <v>0</v>
      </c>
    </row>
    <row r="298" spans="1:5" x14ac:dyDescent="0.25">
      <c r="A298">
        <v>70215</v>
      </c>
      <c r="B298" s="2" t="s">
        <v>374</v>
      </c>
      <c r="C298" s="2" t="s">
        <v>105</v>
      </c>
      <c r="D298" s="2" t="s">
        <v>399</v>
      </c>
      <c r="E298" s="4">
        <f t="shared" si="4"/>
        <v>0</v>
      </c>
    </row>
    <row r="299" spans="1:5" x14ac:dyDescent="0.25">
      <c r="A299">
        <v>70216</v>
      </c>
      <c r="B299" s="2" t="s">
        <v>374</v>
      </c>
      <c r="C299" s="2" t="s">
        <v>105</v>
      </c>
      <c r="D299" s="2" t="s">
        <v>202</v>
      </c>
      <c r="E299" s="4">
        <f t="shared" si="4"/>
        <v>0</v>
      </c>
    </row>
    <row r="300" spans="1:5" x14ac:dyDescent="0.25">
      <c r="A300">
        <v>70217</v>
      </c>
      <c r="B300" s="2" t="s">
        <v>374</v>
      </c>
      <c r="C300" s="2" t="s">
        <v>105</v>
      </c>
      <c r="D300" s="2" t="s">
        <v>400</v>
      </c>
      <c r="E300" s="4">
        <f t="shared" si="4"/>
        <v>0</v>
      </c>
    </row>
    <row r="301" spans="1:5" x14ac:dyDescent="0.25">
      <c r="A301">
        <v>70218</v>
      </c>
      <c r="B301" s="2" t="s">
        <v>374</v>
      </c>
      <c r="C301" s="2" t="s">
        <v>105</v>
      </c>
      <c r="D301" s="2" t="s">
        <v>401</v>
      </c>
      <c r="E301" s="4">
        <f t="shared" si="4"/>
        <v>0</v>
      </c>
    </row>
    <row r="302" spans="1:5" x14ac:dyDescent="0.25">
      <c r="A302">
        <v>70219</v>
      </c>
      <c r="B302" s="2" t="s">
        <v>374</v>
      </c>
      <c r="C302" s="2" t="s">
        <v>105</v>
      </c>
      <c r="D302" s="2" t="s">
        <v>402</v>
      </c>
      <c r="E302" s="4">
        <f t="shared" si="4"/>
        <v>0</v>
      </c>
    </row>
    <row r="303" spans="1:5" x14ac:dyDescent="0.25">
      <c r="A303">
        <v>70220</v>
      </c>
      <c r="B303" s="2" t="s">
        <v>374</v>
      </c>
      <c r="C303" s="2" t="s">
        <v>105</v>
      </c>
      <c r="D303" s="2" t="s">
        <v>403</v>
      </c>
      <c r="E303" s="4">
        <f t="shared" si="4"/>
        <v>0</v>
      </c>
    </row>
    <row r="304" spans="1:5" x14ac:dyDescent="0.25">
      <c r="A304">
        <v>70221</v>
      </c>
      <c r="B304" s="2" t="s">
        <v>374</v>
      </c>
      <c r="C304" s="2" t="s">
        <v>105</v>
      </c>
      <c r="D304" s="2" t="s">
        <v>244</v>
      </c>
      <c r="E304" s="4">
        <f t="shared" si="4"/>
        <v>0</v>
      </c>
    </row>
    <row r="305" spans="1:5" x14ac:dyDescent="0.25">
      <c r="A305">
        <v>70222</v>
      </c>
      <c r="B305" s="2" t="s">
        <v>374</v>
      </c>
      <c r="C305" s="2" t="s">
        <v>105</v>
      </c>
      <c r="D305" s="2" t="s">
        <v>404</v>
      </c>
      <c r="E305" s="4">
        <f t="shared" si="4"/>
        <v>0</v>
      </c>
    </row>
    <row r="306" spans="1:5" x14ac:dyDescent="0.25">
      <c r="A306">
        <v>70223</v>
      </c>
      <c r="B306" s="2" t="s">
        <v>374</v>
      </c>
      <c r="C306" s="2" t="s">
        <v>105</v>
      </c>
      <c r="D306" s="2" t="s">
        <v>405</v>
      </c>
      <c r="E306" s="4">
        <f t="shared" si="4"/>
        <v>0</v>
      </c>
    </row>
    <row r="307" spans="1:5" x14ac:dyDescent="0.25">
      <c r="A307">
        <v>70224</v>
      </c>
      <c r="B307" s="2" t="s">
        <v>374</v>
      </c>
      <c r="C307" s="2" t="s">
        <v>105</v>
      </c>
      <c r="D307" s="2" t="s">
        <v>406</v>
      </c>
      <c r="E307" s="4">
        <f t="shared" si="4"/>
        <v>0</v>
      </c>
    </row>
    <row r="308" spans="1:5" ht="24" x14ac:dyDescent="0.25">
      <c r="A308">
        <v>70301</v>
      </c>
      <c r="B308" s="2" t="s">
        <v>374</v>
      </c>
      <c r="C308" s="2" t="s">
        <v>374</v>
      </c>
      <c r="D308" s="2" t="s">
        <v>407</v>
      </c>
      <c r="E308" s="4">
        <f t="shared" si="4"/>
        <v>0</v>
      </c>
    </row>
    <row r="309" spans="1:5" x14ac:dyDescent="0.25">
      <c r="A309">
        <v>70302</v>
      </c>
      <c r="B309" s="2" t="s">
        <v>374</v>
      </c>
      <c r="C309" s="2" t="s">
        <v>374</v>
      </c>
      <c r="D309" s="2" t="s">
        <v>190</v>
      </c>
      <c r="E309" s="4">
        <f t="shared" si="4"/>
        <v>0</v>
      </c>
    </row>
    <row r="310" spans="1:5" x14ac:dyDescent="0.25">
      <c r="A310">
        <v>70303</v>
      </c>
      <c r="B310" s="2" t="s">
        <v>374</v>
      </c>
      <c r="C310" s="2" t="s">
        <v>374</v>
      </c>
      <c r="D310" s="2" t="s">
        <v>408</v>
      </c>
      <c r="E310" s="4">
        <f t="shared" si="4"/>
        <v>0</v>
      </c>
    </row>
    <row r="311" spans="1:5" x14ac:dyDescent="0.25">
      <c r="A311">
        <v>70304</v>
      </c>
      <c r="B311" s="2" t="s">
        <v>374</v>
      </c>
      <c r="C311" s="2" t="s">
        <v>374</v>
      </c>
      <c r="D311" s="2" t="s">
        <v>409</v>
      </c>
      <c r="E311" s="4">
        <f t="shared" si="4"/>
        <v>0</v>
      </c>
    </row>
    <row r="312" spans="1:5" x14ac:dyDescent="0.25">
      <c r="A312">
        <v>70305</v>
      </c>
      <c r="B312" s="2" t="s">
        <v>374</v>
      </c>
      <c r="C312" s="2" t="s">
        <v>374</v>
      </c>
      <c r="D312" s="2" t="s">
        <v>410</v>
      </c>
      <c r="E312" s="4">
        <f t="shared" si="4"/>
        <v>0</v>
      </c>
    </row>
    <row r="313" spans="1:5" x14ac:dyDescent="0.25">
      <c r="A313">
        <v>70306</v>
      </c>
      <c r="B313" s="2" t="s">
        <v>374</v>
      </c>
      <c r="C313" s="2" t="s">
        <v>374</v>
      </c>
      <c r="D313" s="2" t="s">
        <v>411</v>
      </c>
      <c r="E313" s="4">
        <f t="shared" si="4"/>
        <v>0</v>
      </c>
    </row>
    <row r="314" spans="1:5" x14ac:dyDescent="0.25">
      <c r="A314">
        <v>70307</v>
      </c>
      <c r="B314" s="2" t="s">
        <v>374</v>
      </c>
      <c r="C314" s="2" t="s">
        <v>374</v>
      </c>
      <c r="D314" s="2" t="s">
        <v>266</v>
      </c>
      <c r="E314" s="4">
        <f t="shared" si="4"/>
        <v>0</v>
      </c>
    </row>
    <row r="315" spans="1:5" x14ac:dyDescent="0.25">
      <c r="A315">
        <v>70308</v>
      </c>
      <c r="B315" s="2" t="s">
        <v>374</v>
      </c>
      <c r="C315" s="2" t="s">
        <v>374</v>
      </c>
      <c r="D315" s="2" t="s">
        <v>412</v>
      </c>
      <c r="E315" s="4">
        <f t="shared" si="4"/>
        <v>0</v>
      </c>
    </row>
    <row r="316" spans="1:5" x14ac:dyDescent="0.25">
      <c r="A316">
        <v>70309</v>
      </c>
      <c r="B316" s="2" t="s">
        <v>374</v>
      </c>
      <c r="C316" s="2" t="s">
        <v>374</v>
      </c>
      <c r="D316" s="2" t="s">
        <v>413</v>
      </c>
      <c r="E316" s="4">
        <f t="shared" si="4"/>
        <v>0</v>
      </c>
    </row>
    <row r="317" spans="1:5" x14ac:dyDescent="0.25">
      <c r="A317">
        <v>70310</v>
      </c>
      <c r="B317" s="2" t="s">
        <v>374</v>
      </c>
      <c r="C317" s="2" t="s">
        <v>374</v>
      </c>
      <c r="D317" s="2" t="s">
        <v>366</v>
      </c>
      <c r="E317" s="4">
        <f t="shared" si="4"/>
        <v>0</v>
      </c>
    </row>
    <row r="318" spans="1:5" x14ac:dyDescent="0.25">
      <c r="A318">
        <v>70311</v>
      </c>
      <c r="B318" s="2" t="s">
        <v>374</v>
      </c>
      <c r="C318" s="2" t="s">
        <v>374</v>
      </c>
      <c r="D318" s="2" t="s">
        <v>414</v>
      </c>
      <c r="E318" s="4">
        <f t="shared" si="4"/>
        <v>0</v>
      </c>
    </row>
    <row r="319" spans="1:5" x14ac:dyDescent="0.25">
      <c r="A319">
        <v>70312</v>
      </c>
      <c r="B319" s="2" t="s">
        <v>374</v>
      </c>
      <c r="C319" s="2" t="s">
        <v>374</v>
      </c>
      <c r="D319" s="2" t="s">
        <v>415</v>
      </c>
      <c r="E319" s="4">
        <f t="shared" si="4"/>
        <v>0</v>
      </c>
    </row>
    <row r="320" spans="1:5" x14ac:dyDescent="0.25">
      <c r="A320">
        <v>70313</v>
      </c>
      <c r="B320" s="2" t="s">
        <v>374</v>
      </c>
      <c r="C320" s="2" t="s">
        <v>374</v>
      </c>
      <c r="D320" s="2" t="s">
        <v>416</v>
      </c>
      <c r="E320" s="4">
        <f t="shared" si="4"/>
        <v>0</v>
      </c>
    </row>
    <row r="321" spans="1:5" x14ac:dyDescent="0.25">
      <c r="A321">
        <v>70314</v>
      </c>
      <c r="B321" s="2" t="s">
        <v>374</v>
      </c>
      <c r="C321" s="2" t="s">
        <v>374</v>
      </c>
      <c r="D321" s="2" t="s">
        <v>417</v>
      </c>
      <c r="E321" s="4">
        <f t="shared" si="4"/>
        <v>0</v>
      </c>
    </row>
    <row r="322" spans="1:5" x14ac:dyDescent="0.25">
      <c r="A322">
        <v>70401</v>
      </c>
      <c r="B322" s="2" t="s">
        <v>374</v>
      </c>
      <c r="C322" s="2" t="s">
        <v>418</v>
      </c>
      <c r="D322" s="2" t="s">
        <v>419</v>
      </c>
      <c r="E322" s="4">
        <f t="shared" si="4"/>
        <v>0</v>
      </c>
    </row>
    <row r="323" spans="1:5" x14ac:dyDescent="0.25">
      <c r="A323">
        <v>70402</v>
      </c>
      <c r="B323" s="2" t="s">
        <v>374</v>
      </c>
      <c r="C323" s="2" t="s">
        <v>418</v>
      </c>
      <c r="D323" s="2" t="s">
        <v>420</v>
      </c>
      <c r="E323" s="4">
        <f t="shared" si="4"/>
        <v>0</v>
      </c>
    </row>
    <row r="324" spans="1:5" x14ac:dyDescent="0.25">
      <c r="A324">
        <v>70403</v>
      </c>
      <c r="B324" s="2" t="s">
        <v>374</v>
      </c>
      <c r="C324" s="2" t="s">
        <v>418</v>
      </c>
      <c r="D324" s="2" t="s">
        <v>421</v>
      </c>
      <c r="E324" s="4">
        <f t="shared" si="4"/>
        <v>0</v>
      </c>
    </row>
    <row r="325" spans="1:5" x14ac:dyDescent="0.25">
      <c r="A325">
        <v>70404</v>
      </c>
      <c r="B325" s="2" t="s">
        <v>374</v>
      </c>
      <c r="C325" s="2" t="s">
        <v>418</v>
      </c>
      <c r="D325" s="2" t="s">
        <v>422</v>
      </c>
      <c r="E325" s="4">
        <f t="shared" ref="E325:E388" si="5">SUM(F325:AEZ325)</f>
        <v>0</v>
      </c>
    </row>
    <row r="326" spans="1:5" x14ac:dyDescent="0.25">
      <c r="A326">
        <v>70405</v>
      </c>
      <c r="B326" s="2" t="s">
        <v>374</v>
      </c>
      <c r="C326" s="2" t="s">
        <v>418</v>
      </c>
      <c r="D326" s="2" t="s">
        <v>423</v>
      </c>
      <c r="E326" s="4">
        <f t="shared" si="5"/>
        <v>0</v>
      </c>
    </row>
    <row r="327" spans="1:5" x14ac:dyDescent="0.25">
      <c r="A327">
        <v>70406</v>
      </c>
      <c r="B327" s="2" t="s">
        <v>374</v>
      </c>
      <c r="C327" s="2" t="s">
        <v>418</v>
      </c>
      <c r="D327" s="2" t="s">
        <v>340</v>
      </c>
      <c r="E327" s="4">
        <f t="shared" si="5"/>
        <v>0</v>
      </c>
    </row>
    <row r="328" spans="1:5" x14ac:dyDescent="0.25">
      <c r="A328">
        <v>70407</v>
      </c>
      <c r="B328" s="2" t="s">
        <v>374</v>
      </c>
      <c r="C328" s="2" t="s">
        <v>418</v>
      </c>
      <c r="D328" s="2" t="s">
        <v>424</v>
      </c>
      <c r="E328" s="4">
        <f t="shared" si="5"/>
        <v>0</v>
      </c>
    </row>
    <row r="329" spans="1:5" x14ac:dyDescent="0.25">
      <c r="A329">
        <v>70408</v>
      </c>
      <c r="B329" s="2" t="s">
        <v>374</v>
      </c>
      <c r="C329" s="2" t="s">
        <v>418</v>
      </c>
      <c r="D329" s="2" t="s">
        <v>425</v>
      </c>
      <c r="E329" s="4">
        <f t="shared" si="5"/>
        <v>0</v>
      </c>
    </row>
    <row r="330" spans="1:5" x14ac:dyDescent="0.25">
      <c r="A330">
        <v>70409</v>
      </c>
      <c r="B330" s="2" t="s">
        <v>374</v>
      </c>
      <c r="C330" s="2" t="s">
        <v>418</v>
      </c>
      <c r="D330" s="2" t="s">
        <v>426</v>
      </c>
      <c r="E330" s="4">
        <f t="shared" si="5"/>
        <v>0</v>
      </c>
    </row>
    <row r="331" spans="1:5" x14ac:dyDescent="0.25">
      <c r="A331">
        <v>70410</v>
      </c>
      <c r="B331" s="2" t="s">
        <v>374</v>
      </c>
      <c r="C331" s="2" t="s">
        <v>418</v>
      </c>
      <c r="D331" s="2" t="s">
        <v>427</v>
      </c>
      <c r="E331" s="4">
        <f t="shared" si="5"/>
        <v>0</v>
      </c>
    </row>
    <row r="332" spans="1:5" x14ac:dyDescent="0.25">
      <c r="A332">
        <v>70411</v>
      </c>
      <c r="B332" s="2" t="s">
        <v>374</v>
      </c>
      <c r="C332" s="2" t="s">
        <v>418</v>
      </c>
      <c r="D332" s="2" t="s">
        <v>428</v>
      </c>
      <c r="E332" s="4">
        <f t="shared" si="5"/>
        <v>0</v>
      </c>
    </row>
    <row r="333" spans="1:5" x14ac:dyDescent="0.25">
      <c r="A333">
        <v>70501</v>
      </c>
      <c r="B333" s="2" t="s">
        <v>374</v>
      </c>
      <c r="C333" s="2" t="s">
        <v>429</v>
      </c>
      <c r="D333" s="2" t="s">
        <v>430</v>
      </c>
      <c r="E333" s="4">
        <f t="shared" si="5"/>
        <v>0</v>
      </c>
    </row>
    <row r="334" spans="1:5" x14ac:dyDescent="0.25">
      <c r="A334">
        <v>70502</v>
      </c>
      <c r="B334" s="2" t="s">
        <v>374</v>
      </c>
      <c r="C334" s="2" t="s">
        <v>429</v>
      </c>
      <c r="D334" s="2" t="s">
        <v>431</v>
      </c>
      <c r="E334" s="4">
        <f t="shared" si="5"/>
        <v>0</v>
      </c>
    </row>
    <row r="335" spans="1:5" x14ac:dyDescent="0.25">
      <c r="A335">
        <v>70503</v>
      </c>
      <c r="B335" s="2" t="s">
        <v>374</v>
      </c>
      <c r="C335" s="2" t="s">
        <v>429</v>
      </c>
      <c r="D335" s="2" t="s">
        <v>432</v>
      </c>
      <c r="E335" s="4">
        <f t="shared" si="5"/>
        <v>0</v>
      </c>
    </row>
    <row r="336" spans="1:5" x14ac:dyDescent="0.25">
      <c r="A336">
        <v>70504</v>
      </c>
      <c r="B336" s="2" t="s">
        <v>374</v>
      </c>
      <c r="C336" s="2" t="s">
        <v>429</v>
      </c>
      <c r="D336" s="2" t="s">
        <v>433</v>
      </c>
      <c r="E336" s="4">
        <f t="shared" si="5"/>
        <v>0</v>
      </c>
    </row>
    <row r="337" spans="1:5" x14ac:dyDescent="0.25">
      <c r="A337">
        <v>70505</v>
      </c>
      <c r="B337" s="2" t="s">
        <v>374</v>
      </c>
      <c r="C337" s="2" t="s">
        <v>429</v>
      </c>
      <c r="D337" s="2" t="s">
        <v>434</v>
      </c>
      <c r="E337" s="4">
        <f t="shared" si="5"/>
        <v>0</v>
      </c>
    </row>
    <row r="338" spans="1:5" x14ac:dyDescent="0.25">
      <c r="A338">
        <v>70601</v>
      </c>
      <c r="B338" s="2" t="s">
        <v>374</v>
      </c>
      <c r="C338" s="2" t="s">
        <v>121</v>
      </c>
      <c r="D338" s="2" t="s">
        <v>435</v>
      </c>
      <c r="E338" s="4">
        <f t="shared" si="5"/>
        <v>0</v>
      </c>
    </row>
    <row r="339" spans="1:5" x14ac:dyDescent="0.25">
      <c r="A339">
        <v>70602</v>
      </c>
      <c r="B339" s="2" t="s">
        <v>374</v>
      </c>
      <c r="C339" s="2" t="s">
        <v>121</v>
      </c>
      <c r="D339" s="2" t="s">
        <v>436</v>
      </c>
      <c r="E339" s="4">
        <f t="shared" si="5"/>
        <v>0</v>
      </c>
    </row>
    <row r="340" spans="1:5" x14ac:dyDescent="0.25">
      <c r="A340">
        <v>70603</v>
      </c>
      <c r="B340" s="2" t="s">
        <v>374</v>
      </c>
      <c r="C340" s="2" t="s">
        <v>121</v>
      </c>
      <c r="D340" s="2" t="s">
        <v>437</v>
      </c>
      <c r="E340" s="4">
        <f t="shared" si="5"/>
        <v>0</v>
      </c>
    </row>
    <row r="341" spans="1:5" x14ac:dyDescent="0.25">
      <c r="A341">
        <v>70604</v>
      </c>
      <c r="B341" s="2" t="s">
        <v>374</v>
      </c>
      <c r="C341" s="2" t="s">
        <v>121</v>
      </c>
      <c r="D341" s="2" t="s">
        <v>228</v>
      </c>
      <c r="E341" s="4">
        <f t="shared" si="5"/>
        <v>0</v>
      </c>
    </row>
    <row r="342" spans="1:5" x14ac:dyDescent="0.25">
      <c r="A342">
        <v>70605</v>
      </c>
      <c r="B342" s="2" t="s">
        <v>374</v>
      </c>
      <c r="C342" s="2" t="s">
        <v>121</v>
      </c>
      <c r="D342" s="2" t="s">
        <v>438</v>
      </c>
      <c r="E342" s="4">
        <f t="shared" si="5"/>
        <v>0</v>
      </c>
    </row>
    <row r="343" spans="1:5" x14ac:dyDescent="0.25">
      <c r="A343">
        <v>70701</v>
      </c>
      <c r="B343" s="2" t="s">
        <v>374</v>
      </c>
      <c r="C343" s="2" t="s">
        <v>439</v>
      </c>
      <c r="D343" s="2" t="s">
        <v>440</v>
      </c>
      <c r="E343" s="4">
        <f t="shared" si="5"/>
        <v>0</v>
      </c>
    </row>
    <row r="344" spans="1:5" x14ac:dyDescent="0.25">
      <c r="A344">
        <v>70702</v>
      </c>
      <c r="B344" s="2" t="s">
        <v>374</v>
      </c>
      <c r="C344" s="2" t="s">
        <v>439</v>
      </c>
      <c r="D344" s="2" t="s">
        <v>441</v>
      </c>
      <c r="E344" s="4">
        <f t="shared" si="5"/>
        <v>0</v>
      </c>
    </row>
    <row r="345" spans="1:5" x14ac:dyDescent="0.25">
      <c r="A345">
        <v>70703</v>
      </c>
      <c r="B345" s="2" t="s">
        <v>374</v>
      </c>
      <c r="C345" s="2" t="s">
        <v>439</v>
      </c>
      <c r="D345" s="2" t="s">
        <v>442</v>
      </c>
      <c r="E345" s="4">
        <f t="shared" si="5"/>
        <v>0</v>
      </c>
    </row>
    <row r="346" spans="1:5" x14ac:dyDescent="0.25">
      <c r="A346">
        <v>70704</v>
      </c>
      <c r="B346" s="2" t="s">
        <v>374</v>
      </c>
      <c r="C346" s="2" t="s">
        <v>439</v>
      </c>
      <c r="D346" s="2" t="s">
        <v>443</v>
      </c>
      <c r="E346" s="4">
        <f t="shared" si="5"/>
        <v>0</v>
      </c>
    </row>
    <row r="347" spans="1:5" x14ac:dyDescent="0.25">
      <c r="A347">
        <v>70705</v>
      </c>
      <c r="B347" s="2" t="s">
        <v>374</v>
      </c>
      <c r="C347" s="2" t="s">
        <v>439</v>
      </c>
      <c r="D347" s="2" t="s">
        <v>444</v>
      </c>
      <c r="E347" s="4">
        <f t="shared" si="5"/>
        <v>0</v>
      </c>
    </row>
    <row r="348" spans="1:5" x14ac:dyDescent="0.25">
      <c r="A348">
        <v>70706</v>
      </c>
      <c r="B348" s="2" t="s">
        <v>374</v>
      </c>
      <c r="C348" s="2" t="s">
        <v>439</v>
      </c>
      <c r="D348" s="2" t="s">
        <v>445</v>
      </c>
      <c r="E348" s="4">
        <f t="shared" si="5"/>
        <v>0</v>
      </c>
    </row>
    <row r="349" spans="1:5" x14ac:dyDescent="0.25">
      <c r="A349">
        <v>70707</v>
      </c>
      <c r="B349" s="2" t="s">
        <v>374</v>
      </c>
      <c r="C349" s="2" t="s">
        <v>439</v>
      </c>
      <c r="D349" s="2" t="s">
        <v>446</v>
      </c>
      <c r="E349" s="4">
        <f t="shared" si="5"/>
        <v>0</v>
      </c>
    </row>
    <row r="350" spans="1:5" x14ac:dyDescent="0.25">
      <c r="A350">
        <v>70708</v>
      </c>
      <c r="B350" s="2" t="s">
        <v>374</v>
      </c>
      <c r="C350" s="2" t="s">
        <v>439</v>
      </c>
      <c r="D350" s="2" t="s">
        <v>447</v>
      </c>
      <c r="E350" s="4">
        <f t="shared" si="5"/>
        <v>0</v>
      </c>
    </row>
    <row r="351" spans="1:5" x14ac:dyDescent="0.25">
      <c r="A351">
        <v>70709</v>
      </c>
      <c r="B351" s="2" t="s">
        <v>374</v>
      </c>
      <c r="C351" s="2" t="s">
        <v>439</v>
      </c>
      <c r="D351" s="2" t="s">
        <v>448</v>
      </c>
      <c r="E351" s="4">
        <f t="shared" si="5"/>
        <v>0</v>
      </c>
    </row>
    <row r="352" spans="1:5" x14ac:dyDescent="0.25">
      <c r="A352">
        <v>70710</v>
      </c>
      <c r="B352" s="2" t="s">
        <v>374</v>
      </c>
      <c r="C352" s="2" t="s">
        <v>439</v>
      </c>
      <c r="D352" s="2" t="s">
        <v>449</v>
      </c>
      <c r="E352" s="4">
        <f t="shared" si="5"/>
        <v>0</v>
      </c>
    </row>
    <row r="353" spans="1:5" x14ac:dyDescent="0.25">
      <c r="A353">
        <v>70711</v>
      </c>
      <c r="B353" s="2" t="s">
        <v>374</v>
      </c>
      <c r="C353" s="2" t="s">
        <v>439</v>
      </c>
      <c r="D353" s="2" t="s">
        <v>450</v>
      </c>
      <c r="E353" s="4">
        <f t="shared" si="5"/>
        <v>0</v>
      </c>
    </row>
    <row r="354" spans="1:5" x14ac:dyDescent="0.25">
      <c r="A354">
        <v>80201</v>
      </c>
      <c r="B354" s="2" t="s">
        <v>451</v>
      </c>
      <c r="C354" s="2" t="s">
        <v>452</v>
      </c>
      <c r="D354" s="2" t="s">
        <v>453</v>
      </c>
      <c r="E354" s="4">
        <f t="shared" si="5"/>
        <v>0</v>
      </c>
    </row>
    <row r="355" spans="1:5" x14ac:dyDescent="0.25">
      <c r="A355">
        <v>80202</v>
      </c>
      <c r="B355" s="2" t="s">
        <v>451</v>
      </c>
      <c r="C355" s="2" t="s">
        <v>452</v>
      </c>
      <c r="D355" s="2" t="s">
        <v>454</v>
      </c>
      <c r="E355" s="4">
        <f t="shared" si="5"/>
        <v>0</v>
      </c>
    </row>
    <row r="356" spans="1:5" x14ac:dyDescent="0.25">
      <c r="A356">
        <v>80203</v>
      </c>
      <c r="B356" s="2" t="s">
        <v>451</v>
      </c>
      <c r="C356" s="2" t="s">
        <v>452</v>
      </c>
      <c r="D356" s="2" t="s">
        <v>455</v>
      </c>
      <c r="E356" s="4">
        <f t="shared" si="5"/>
        <v>0</v>
      </c>
    </row>
    <row r="357" spans="1:5" x14ac:dyDescent="0.25">
      <c r="A357">
        <v>80204</v>
      </c>
      <c r="B357" s="2" t="s">
        <v>451</v>
      </c>
      <c r="C357" s="2" t="s">
        <v>452</v>
      </c>
      <c r="D357" s="2" t="s">
        <v>456</v>
      </c>
      <c r="E357" s="4">
        <f t="shared" si="5"/>
        <v>0</v>
      </c>
    </row>
    <row r="358" spans="1:5" x14ac:dyDescent="0.25">
      <c r="A358">
        <v>80205</v>
      </c>
      <c r="B358" s="2" t="s">
        <v>451</v>
      </c>
      <c r="C358" s="2" t="s">
        <v>452</v>
      </c>
      <c r="D358" s="2" t="s">
        <v>457</v>
      </c>
      <c r="E358" s="4">
        <f t="shared" si="5"/>
        <v>0</v>
      </c>
    </row>
    <row r="359" spans="1:5" x14ac:dyDescent="0.25">
      <c r="A359">
        <v>80206</v>
      </c>
      <c r="B359" s="2" t="s">
        <v>451</v>
      </c>
      <c r="C359" s="2" t="s">
        <v>452</v>
      </c>
      <c r="D359" s="2" t="s">
        <v>458</v>
      </c>
      <c r="E359" s="4">
        <f t="shared" si="5"/>
        <v>0</v>
      </c>
    </row>
    <row r="360" spans="1:5" x14ac:dyDescent="0.25">
      <c r="A360">
        <v>80501</v>
      </c>
      <c r="B360" s="2" t="s">
        <v>451</v>
      </c>
      <c r="C360" s="2" t="s">
        <v>330</v>
      </c>
      <c r="D360" s="2" t="s">
        <v>459</v>
      </c>
      <c r="E360" s="4">
        <f t="shared" si="5"/>
        <v>0</v>
      </c>
    </row>
    <row r="361" spans="1:5" x14ac:dyDescent="0.25">
      <c r="A361">
        <v>80502</v>
      </c>
      <c r="B361" s="2" t="s">
        <v>451</v>
      </c>
      <c r="C361" s="2" t="s">
        <v>330</v>
      </c>
      <c r="D361" s="2" t="s">
        <v>460</v>
      </c>
      <c r="E361" s="4">
        <f t="shared" si="5"/>
        <v>0</v>
      </c>
    </row>
    <row r="362" spans="1:5" x14ac:dyDescent="0.25">
      <c r="A362">
        <v>80504</v>
      </c>
      <c r="B362" s="2" t="s">
        <v>451</v>
      </c>
      <c r="C362" s="2" t="s">
        <v>330</v>
      </c>
      <c r="D362" s="2" t="s">
        <v>461</v>
      </c>
      <c r="E362" s="4">
        <f t="shared" si="5"/>
        <v>0</v>
      </c>
    </row>
    <row r="363" spans="1:5" x14ac:dyDescent="0.25">
      <c r="A363">
        <v>80504</v>
      </c>
      <c r="B363" s="2" t="s">
        <v>451</v>
      </c>
      <c r="C363" s="2" t="s">
        <v>330</v>
      </c>
      <c r="D363" s="2" t="s">
        <v>461</v>
      </c>
      <c r="E363" s="4">
        <f t="shared" si="5"/>
        <v>0</v>
      </c>
    </row>
    <row r="364" spans="1:5" x14ac:dyDescent="0.25">
      <c r="A364">
        <v>80505</v>
      </c>
      <c r="B364" s="2" t="s">
        <v>451</v>
      </c>
      <c r="C364" s="2" t="s">
        <v>330</v>
      </c>
      <c r="D364" s="2" t="s">
        <v>462</v>
      </c>
      <c r="E364" s="4">
        <f t="shared" si="5"/>
        <v>0</v>
      </c>
    </row>
    <row r="365" spans="1:5" x14ac:dyDescent="0.25">
      <c r="A365">
        <v>80506</v>
      </c>
      <c r="B365" s="2" t="s">
        <v>451</v>
      </c>
      <c r="C365" s="2" t="s">
        <v>330</v>
      </c>
      <c r="D365" s="2" t="s">
        <v>463</v>
      </c>
      <c r="E365" s="4">
        <f t="shared" si="5"/>
        <v>0</v>
      </c>
    </row>
    <row r="366" spans="1:5" x14ac:dyDescent="0.25">
      <c r="A366">
        <v>80506</v>
      </c>
      <c r="B366" s="2" t="s">
        <v>451</v>
      </c>
      <c r="C366" s="2" t="s">
        <v>330</v>
      </c>
      <c r="D366" s="2" t="s">
        <v>464</v>
      </c>
      <c r="E366" s="4">
        <f t="shared" si="5"/>
        <v>0</v>
      </c>
    </row>
    <row r="367" spans="1:5" ht="24" x14ac:dyDescent="0.25">
      <c r="A367">
        <v>80507</v>
      </c>
      <c r="B367" s="2" t="s">
        <v>451</v>
      </c>
      <c r="C367" s="2" t="s">
        <v>330</v>
      </c>
      <c r="D367" s="2" t="s">
        <v>465</v>
      </c>
      <c r="E367" s="4">
        <f t="shared" si="5"/>
        <v>0</v>
      </c>
    </row>
    <row r="368" spans="1:5" ht="24" x14ac:dyDescent="0.25">
      <c r="A368">
        <v>80507</v>
      </c>
      <c r="B368" s="2" t="s">
        <v>451</v>
      </c>
      <c r="C368" s="2" t="s">
        <v>330</v>
      </c>
      <c r="D368" s="2" t="s">
        <v>465</v>
      </c>
      <c r="E368" s="4">
        <f t="shared" si="5"/>
        <v>0</v>
      </c>
    </row>
    <row r="369" spans="1:5" x14ac:dyDescent="0.25">
      <c r="A369">
        <v>80508</v>
      </c>
      <c r="B369" s="2" t="s">
        <v>451</v>
      </c>
      <c r="C369" s="2" t="s">
        <v>330</v>
      </c>
      <c r="D369" s="2" t="s">
        <v>466</v>
      </c>
      <c r="E369" s="4">
        <f t="shared" si="5"/>
        <v>0</v>
      </c>
    </row>
    <row r="370" spans="1:5" x14ac:dyDescent="0.25">
      <c r="A370">
        <v>80601</v>
      </c>
      <c r="B370" s="2" t="s">
        <v>451</v>
      </c>
      <c r="C370" s="2" t="s">
        <v>467</v>
      </c>
      <c r="D370" s="2" t="s">
        <v>468</v>
      </c>
      <c r="E370" s="4">
        <f t="shared" si="5"/>
        <v>0</v>
      </c>
    </row>
    <row r="371" spans="1:5" x14ac:dyDescent="0.25">
      <c r="A371">
        <v>80602</v>
      </c>
      <c r="B371" s="2" t="s">
        <v>451</v>
      </c>
      <c r="C371" s="2" t="s">
        <v>467</v>
      </c>
      <c r="D371" s="2" t="s">
        <v>469</v>
      </c>
      <c r="E371" s="4">
        <f t="shared" si="5"/>
        <v>0</v>
      </c>
    </row>
    <row r="372" spans="1:5" x14ac:dyDescent="0.25">
      <c r="A372">
        <v>80603</v>
      </c>
      <c r="B372" s="2" t="s">
        <v>451</v>
      </c>
      <c r="C372" s="2" t="s">
        <v>467</v>
      </c>
      <c r="D372" s="2" t="s">
        <v>470</v>
      </c>
      <c r="E372" s="4">
        <f t="shared" si="5"/>
        <v>0</v>
      </c>
    </row>
    <row r="373" spans="1:5" x14ac:dyDescent="0.25">
      <c r="A373">
        <v>80604</v>
      </c>
      <c r="B373" s="2" t="s">
        <v>451</v>
      </c>
      <c r="C373" s="2" t="s">
        <v>467</v>
      </c>
      <c r="D373" s="2" t="s">
        <v>471</v>
      </c>
      <c r="E373" s="4">
        <f t="shared" si="5"/>
        <v>0</v>
      </c>
    </row>
    <row r="374" spans="1:5" x14ac:dyDescent="0.25">
      <c r="A374">
        <v>80605</v>
      </c>
      <c r="B374" s="2" t="s">
        <v>451</v>
      </c>
      <c r="C374" s="2" t="s">
        <v>467</v>
      </c>
      <c r="D374" s="2" t="s">
        <v>472</v>
      </c>
      <c r="E374" s="4">
        <f t="shared" si="5"/>
        <v>0</v>
      </c>
    </row>
    <row r="375" spans="1:5" x14ac:dyDescent="0.25">
      <c r="A375">
        <v>80602</v>
      </c>
      <c r="B375" s="2" t="s">
        <v>451</v>
      </c>
      <c r="C375" s="2" t="s">
        <v>467</v>
      </c>
      <c r="D375" s="2" t="s">
        <v>469</v>
      </c>
      <c r="E375" s="4">
        <f t="shared" si="5"/>
        <v>0</v>
      </c>
    </row>
    <row r="376" spans="1:5" x14ac:dyDescent="0.25">
      <c r="A376">
        <v>80801</v>
      </c>
      <c r="B376" s="2" t="s">
        <v>451</v>
      </c>
      <c r="C376" s="2" t="s">
        <v>451</v>
      </c>
      <c r="D376" s="2" t="s">
        <v>473</v>
      </c>
      <c r="E376" s="4">
        <f t="shared" si="5"/>
        <v>0</v>
      </c>
    </row>
    <row r="377" spans="1:5" x14ac:dyDescent="0.25">
      <c r="A377">
        <v>80802</v>
      </c>
      <c r="B377" s="2" t="s">
        <v>451</v>
      </c>
      <c r="C377" s="2" t="s">
        <v>451</v>
      </c>
      <c r="D377" s="2" t="s">
        <v>474</v>
      </c>
      <c r="E377" s="4">
        <f t="shared" si="5"/>
        <v>0</v>
      </c>
    </row>
    <row r="378" spans="1:5" x14ac:dyDescent="0.25">
      <c r="A378">
        <v>80803</v>
      </c>
      <c r="B378" s="2" t="s">
        <v>451</v>
      </c>
      <c r="C378" s="2" t="s">
        <v>451</v>
      </c>
      <c r="D378" s="2" t="s">
        <v>414</v>
      </c>
      <c r="E378" s="4">
        <f t="shared" si="5"/>
        <v>0</v>
      </c>
    </row>
    <row r="379" spans="1:5" x14ac:dyDescent="0.25">
      <c r="A379">
        <v>80804</v>
      </c>
      <c r="B379" s="2" t="s">
        <v>451</v>
      </c>
      <c r="C379" s="2" t="s">
        <v>451</v>
      </c>
      <c r="D379" s="2" t="s">
        <v>475</v>
      </c>
      <c r="E379" s="4">
        <f t="shared" si="5"/>
        <v>0</v>
      </c>
    </row>
    <row r="380" spans="1:5" x14ac:dyDescent="0.25">
      <c r="A380">
        <v>80805</v>
      </c>
      <c r="B380" s="2" t="s">
        <v>451</v>
      </c>
      <c r="C380" s="2" t="s">
        <v>451</v>
      </c>
      <c r="D380" s="2" t="s">
        <v>476</v>
      </c>
      <c r="E380" s="4">
        <f t="shared" si="5"/>
        <v>0</v>
      </c>
    </row>
    <row r="381" spans="1:5" x14ac:dyDescent="0.25">
      <c r="A381">
        <v>80806</v>
      </c>
      <c r="B381" s="2" t="s">
        <v>451</v>
      </c>
      <c r="C381" s="2" t="s">
        <v>451</v>
      </c>
      <c r="D381" s="2" t="s">
        <v>477</v>
      </c>
      <c r="E381" s="4">
        <f t="shared" si="5"/>
        <v>0</v>
      </c>
    </row>
    <row r="382" spans="1:5" x14ac:dyDescent="0.25">
      <c r="A382">
        <v>80807</v>
      </c>
      <c r="B382" s="2" t="s">
        <v>451</v>
      </c>
      <c r="C382" s="2" t="s">
        <v>451</v>
      </c>
      <c r="D382" s="2" t="s">
        <v>294</v>
      </c>
      <c r="E382" s="4">
        <f t="shared" si="5"/>
        <v>0</v>
      </c>
    </row>
    <row r="383" spans="1:5" x14ac:dyDescent="0.25">
      <c r="A383">
        <v>80808</v>
      </c>
      <c r="B383" s="2" t="s">
        <v>451</v>
      </c>
      <c r="C383" s="2" t="s">
        <v>451</v>
      </c>
      <c r="D383" s="2" t="s">
        <v>478</v>
      </c>
      <c r="E383" s="4">
        <f t="shared" si="5"/>
        <v>0</v>
      </c>
    </row>
    <row r="384" spans="1:5" x14ac:dyDescent="0.25">
      <c r="A384">
        <v>80809</v>
      </c>
      <c r="B384" s="2" t="s">
        <v>451</v>
      </c>
      <c r="C384" s="2" t="s">
        <v>451</v>
      </c>
      <c r="D384" s="2" t="s">
        <v>479</v>
      </c>
      <c r="E384" s="4">
        <f t="shared" si="5"/>
        <v>0</v>
      </c>
    </row>
    <row r="385" spans="1:5" x14ac:dyDescent="0.25">
      <c r="A385">
        <v>80810</v>
      </c>
      <c r="B385" s="2" t="s">
        <v>451</v>
      </c>
      <c r="C385" s="2" t="s">
        <v>451</v>
      </c>
      <c r="D385" s="2" t="s">
        <v>480</v>
      </c>
      <c r="E385" s="4">
        <f t="shared" si="5"/>
        <v>0</v>
      </c>
    </row>
    <row r="386" spans="1:5" x14ac:dyDescent="0.25">
      <c r="A386">
        <v>80811</v>
      </c>
      <c r="B386" s="2" t="s">
        <v>451</v>
      </c>
      <c r="C386" s="2" t="s">
        <v>451</v>
      </c>
      <c r="D386" s="2" t="s">
        <v>481</v>
      </c>
      <c r="E386" s="4">
        <f t="shared" si="5"/>
        <v>0</v>
      </c>
    </row>
    <row r="387" spans="1:5" x14ac:dyDescent="0.25">
      <c r="A387">
        <v>80812</v>
      </c>
      <c r="B387" s="2" t="s">
        <v>451</v>
      </c>
      <c r="C387" s="2" t="s">
        <v>451</v>
      </c>
      <c r="D387" s="2" t="s">
        <v>129</v>
      </c>
      <c r="E387" s="4">
        <f t="shared" si="5"/>
        <v>0</v>
      </c>
    </row>
    <row r="388" spans="1:5" x14ac:dyDescent="0.25">
      <c r="A388">
        <v>80813</v>
      </c>
      <c r="B388" s="2" t="s">
        <v>451</v>
      </c>
      <c r="C388" s="2" t="s">
        <v>451</v>
      </c>
      <c r="D388" s="2" t="s">
        <v>229</v>
      </c>
      <c r="E388" s="4">
        <f t="shared" si="5"/>
        <v>0</v>
      </c>
    </row>
    <row r="389" spans="1:5" x14ac:dyDescent="0.25">
      <c r="A389">
        <v>80814</v>
      </c>
      <c r="B389" s="2" t="s">
        <v>451</v>
      </c>
      <c r="C389" s="2" t="s">
        <v>451</v>
      </c>
      <c r="D389" s="2" t="s">
        <v>482</v>
      </c>
      <c r="E389" s="4">
        <f t="shared" ref="E389:E452" si="6">SUM(F389:AEZ389)</f>
        <v>0</v>
      </c>
    </row>
    <row r="390" spans="1:5" x14ac:dyDescent="0.25">
      <c r="A390">
        <v>80815</v>
      </c>
      <c r="B390" s="2" t="s">
        <v>451</v>
      </c>
      <c r="C390" s="2" t="s">
        <v>451</v>
      </c>
      <c r="D390" s="2" t="s">
        <v>482</v>
      </c>
      <c r="E390" s="4">
        <f t="shared" si="6"/>
        <v>0</v>
      </c>
    </row>
    <row r="391" spans="1:5" x14ac:dyDescent="0.25">
      <c r="A391">
        <v>80815</v>
      </c>
      <c r="B391" s="2" t="s">
        <v>451</v>
      </c>
      <c r="C391" s="2" t="s">
        <v>451</v>
      </c>
      <c r="D391" s="2" t="s">
        <v>483</v>
      </c>
      <c r="E391" s="4">
        <f t="shared" si="6"/>
        <v>0</v>
      </c>
    </row>
    <row r="392" spans="1:5" x14ac:dyDescent="0.25">
      <c r="A392">
        <v>80816</v>
      </c>
      <c r="B392" s="2" t="s">
        <v>451</v>
      </c>
      <c r="C392" s="2" t="s">
        <v>451</v>
      </c>
      <c r="D392" s="2" t="s">
        <v>484</v>
      </c>
      <c r="E392" s="4">
        <f t="shared" si="6"/>
        <v>0</v>
      </c>
    </row>
    <row r="393" spans="1:5" x14ac:dyDescent="0.25">
      <c r="A393">
        <v>80817</v>
      </c>
      <c r="B393" s="2" t="s">
        <v>451</v>
      </c>
      <c r="C393" s="2" t="s">
        <v>451</v>
      </c>
      <c r="D393" s="2" t="s">
        <v>485</v>
      </c>
      <c r="E393" s="4">
        <f t="shared" si="6"/>
        <v>0</v>
      </c>
    </row>
    <row r="394" spans="1:5" x14ac:dyDescent="0.25">
      <c r="A394">
        <v>80817</v>
      </c>
      <c r="B394" s="2" t="s">
        <v>451</v>
      </c>
      <c r="C394" s="2" t="s">
        <v>451</v>
      </c>
      <c r="D394" s="2" t="s">
        <v>486</v>
      </c>
      <c r="E394" s="4">
        <f t="shared" si="6"/>
        <v>0</v>
      </c>
    </row>
    <row r="395" spans="1:5" x14ac:dyDescent="0.25">
      <c r="A395">
        <v>80818</v>
      </c>
      <c r="B395" s="2" t="s">
        <v>451</v>
      </c>
      <c r="C395" s="2" t="s">
        <v>451</v>
      </c>
      <c r="D395" s="2" t="s">
        <v>487</v>
      </c>
      <c r="E395" s="4">
        <f t="shared" si="6"/>
        <v>0</v>
      </c>
    </row>
    <row r="396" spans="1:5" x14ac:dyDescent="0.25">
      <c r="A396">
        <v>80819</v>
      </c>
      <c r="B396" s="2" t="s">
        <v>451</v>
      </c>
      <c r="C396" s="2" t="s">
        <v>451</v>
      </c>
      <c r="D396" s="2" t="s">
        <v>488</v>
      </c>
      <c r="E396" s="4">
        <f t="shared" si="6"/>
        <v>0</v>
      </c>
    </row>
    <row r="397" spans="1:5" x14ac:dyDescent="0.25">
      <c r="A397">
        <v>80820</v>
      </c>
      <c r="B397" s="2" t="s">
        <v>451</v>
      </c>
      <c r="C397" s="2" t="s">
        <v>451</v>
      </c>
      <c r="D397" s="2" t="s">
        <v>489</v>
      </c>
      <c r="E397" s="4">
        <f t="shared" si="6"/>
        <v>0</v>
      </c>
    </row>
    <row r="398" spans="1:5" x14ac:dyDescent="0.25">
      <c r="A398">
        <v>80821</v>
      </c>
      <c r="B398" s="2" t="s">
        <v>451</v>
      </c>
      <c r="C398" s="2" t="s">
        <v>451</v>
      </c>
      <c r="D398" s="2" t="s">
        <v>490</v>
      </c>
      <c r="E398" s="4">
        <f t="shared" si="6"/>
        <v>0</v>
      </c>
    </row>
    <row r="399" spans="1:5" x14ac:dyDescent="0.25">
      <c r="A399">
        <v>80822</v>
      </c>
      <c r="B399" s="2" t="s">
        <v>451</v>
      </c>
      <c r="C399" s="2" t="s">
        <v>451</v>
      </c>
      <c r="D399" s="2" t="s">
        <v>491</v>
      </c>
      <c r="E399" s="4">
        <f t="shared" si="6"/>
        <v>0</v>
      </c>
    </row>
    <row r="400" spans="1:5" x14ac:dyDescent="0.25">
      <c r="A400">
        <v>80823</v>
      </c>
      <c r="B400" s="2" t="s">
        <v>451</v>
      </c>
      <c r="C400" s="2" t="s">
        <v>451</v>
      </c>
      <c r="D400" s="2" t="s">
        <v>492</v>
      </c>
      <c r="E400" s="4">
        <f t="shared" si="6"/>
        <v>0</v>
      </c>
    </row>
    <row r="401" spans="1:5" x14ac:dyDescent="0.25">
      <c r="A401">
        <v>80814</v>
      </c>
      <c r="B401" s="2" t="s">
        <v>451</v>
      </c>
      <c r="C401" s="2" t="s">
        <v>451</v>
      </c>
      <c r="D401" s="2" t="s">
        <v>493</v>
      </c>
      <c r="E401" s="4">
        <f t="shared" si="6"/>
        <v>0</v>
      </c>
    </row>
    <row r="402" spans="1:5" x14ac:dyDescent="0.25">
      <c r="A402">
        <v>80814</v>
      </c>
      <c r="B402" s="2" t="s">
        <v>451</v>
      </c>
      <c r="C402" s="2" t="s">
        <v>451</v>
      </c>
      <c r="D402" s="2" t="s">
        <v>493</v>
      </c>
      <c r="E402" s="4">
        <f t="shared" si="6"/>
        <v>0</v>
      </c>
    </row>
    <row r="403" spans="1:5" x14ac:dyDescent="0.25">
      <c r="A403">
        <v>81001</v>
      </c>
      <c r="B403" s="2" t="s">
        <v>451</v>
      </c>
      <c r="C403" s="2" t="s">
        <v>494</v>
      </c>
      <c r="D403" s="2" t="s">
        <v>495</v>
      </c>
      <c r="E403" s="4">
        <f t="shared" si="6"/>
        <v>0</v>
      </c>
    </row>
    <row r="404" spans="1:5" x14ac:dyDescent="0.25">
      <c r="A404">
        <v>81002</v>
      </c>
      <c r="B404" s="2" t="s">
        <v>451</v>
      </c>
      <c r="C404" s="2" t="s">
        <v>494</v>
      </c>
      <c r="D404" s="2" t="s">
        <v>496</v>
      </c>
      <c r="E404" s="4">
        <f t="shared" si="6"/>
        <v>0</v>
      </c>
    </row>
    <row r="405" spans="1:5" x14ac:dyDescent="0.25">
      <c r="A405">
        <v>81003</v>
      </c>
      <c r="B405" s="2" t="s">
        <v>451</v>
      </c>
      <c r="C405" s="2" t="s">
        <v>494</v>
      </c>
      <c r="D405" s="2" t="s">
        <v>497</v>
      </c>
      <c r="E405" s="4">
        <f t="shared" si="6"/>
        <v>0</v>
      </c>
    </row>
    <row r="406" spans="1:5" x14ac:dyDescent="0.25">
      <c r="A406">
        <v>81004</v>
      </c>
      <c r="B406" s="2" t="s">
        <v>451</v>
      </c>
      <c r="C406" s="2" t="s">
        <v>494</v>
      </c>
      <c r="D406" s="2" t="s">
        <v>498</v>
      </c>
      <c r="E406" s="4">
        <f t="shared" si="6"/>
        <v>0</v>
      </c>
    </row>
    <row r="407" spans="1:5" x14ac:dyDescent="0.25">
      <c r="A407">
        <v>81005</v>
      </c>
      <c r="B407" s="2" t="s">
        <v>451</v>
      </c>
      <c r="C407" s="2" t="s">
        <v>494</v>
      </c>
      <c r="D407" s="2" t="s">
        <v>499</v>
      </c>
      <c r="E407" s="4">
        <f t="shared" si="6"/>
        <v>0</v>
      </c>
    </row>
    <row r="408" spans="1:5" x14ac:dyDescent="0.25">
      <c r="A408">
        <v>81006</v>
      </c>
      <c r="B408" s="2" t="s">
        <v>451</v>
      </c>
      <c r="C408" s="2" t="s">
        <v>494</v>
      </c>
      <c r="D408" s="2" t="s">
        <v>500</v>
      </c>
      <c r="E408" s="4">
        <f t="shared" si="6"/>
        <v>0</v>
      </c>
    </row>
    <row r="409" spans="1:5" x14ac:dyDescent="0.25">
      <c r="A409">
        <v>81007</v>
      </c>
      <c r="B409" s="2" t="s">
        <v>451</v>
      </c>
      <c r="C409" s="2" t="s">
        <v>494</v>
      </c>
      <c r="D409" s="2" t="s">
        <v>501</v>
      </c>
      <c r="E409" s="4">
        <f t="shared" si="6"/>
        <v>0</v>
      </c>
    </row>
    <row r="410" spans="1:5" x14ac:dyDescent="0.25">
      <c r="A410">
        <v>81008</v>
      </c>
      <c r="B410" s="2" t="s">
        <v>451</v>
      </c>
      <c r="C410" s="2" t="s">
        <v>494</v>
      </c>
      <c r="D410" s="2" t="s">
        <v>502</v>
      </c>
      <c r="E410" s="4">
        <f t="shared" si="6"/>
        <v>0</v>
      </c>
    </row>
    <row r="411" spans="1:5" x14ac:dyDescent="0.25">
      <c r="A411">
        <v>81009</v>
      </c>
      <c r="B411" s="2" t="s">
        <v>451</v>
      </c>
      <c r="C411" s="2" t="s">
        <v>494</v>
      </c>
      <c r="D411" s="2" t="s">
        <v>503</v>
      </c>
      <c r="E411" s="4">
        <f t="shared" si="6"/>
        <v>0</v>
      </c>
    </row>
    <row r="412" spans="1:5" x14ac:dyDescent="0.25">
      <c r="A412">
        <v>81101</v>
      </c>
      <c r="B412" s="2" t="s">
        <v>451</v>
      </c>
      <c r="C412" s="2" t="s">
        <v>504</v>
      </c>
      <c r="D412" s="2" t="s">
        <v>505</v>
      </c>
      <c r="E412" s="4">
        <f t="shared" si="6"/>
        <v>0</v>
      </c>
    </row>
    <row r="413" spans="1:5" x14ac:dyDescent="0.25">
      <c r="A413">
        <v>81102</v>
      </c>
      <c r="B413" s="2" t="s">
        <v>451</v>
      </c>
      <c r="C413" s="2" t="s">
        <v>504</v>
      </c>
      <c r="D413" s="2" t="s">
        <v>506</v>
      </c>
      <c r="E413" s="4">
        <f t="shared" si="6"/>
        <v>0</v>
      </c>
    </row>
    <row r="414" spans="1:5" x14ac:dyDescent="0.25">
      <c r="A414">
        <v>81103</v>
      </c>
      <c r="B414" s="2" t="s">
        <v>451</v>
      </c>
      <c r="C414" s="2" t="s">
        <v>504</v>
      </c>
      <c r="D414" s="2" t="s">
        <v>507</v>
      </c>
      <c r="E414" s="4">
        <f t="shared" si="6"/>
        <v>0</v>
      </c>
    </row>
    <row r="415" spans="1:5" x14ac:dyDescent="0.25">
      <c r="A415">
        <v>90101</v>
      </c>
      <c r="B415" s="2" t="s">
        <v>508</v>
      </c>
      <c r="C415" s="2" t="s">
        <v>509</v>
      </c>
      <c r="D415" s="2" t="s">
        <v>510</v>
      </c>
      <c r="E415" s="4">
        <f t="shared" si="6"/>
        <v>0</v>
      </c>
    </row>
    <row r="416" spans="1:5" x14ac:dyDescent="0.25">
      <c r="A416">
        <v>90102</v>
      </c>
      <c r="B416" s="2" t="s">
        <v>508</v>
      </c>
      <c r="C416" s="2" t="s">
        <v>509</v>
      </c>
      <c r="D416" s="2" t="s">
        <v>511</v>
      </c>
      <c r="E416" s="4">
        <f t="shared" si="6"/>
        <v>0</v>
      </c>
    </row>
    <row r="417" spans="1:5" x14ac:dyDescent="0.25">
      <c r="A417">
        <v>90103</v>
      </c>
      <c r="B417" s="2" t="s">
        <v>508</v>
      </c>
      <c r="C417" s="2" t="s">
        <v>509</v>
      </c>
      <c r="D417" s="2" t="s">
        <v>512</v>
      </c>
      <c r="E417" s="4">
        <f t="shared" si="6"/>
        <v>0</v>
      </c>
    </row>
    <row r="418" spans="1:5" x14ac:dyDescent="0.25">
      <c r="A418">
        <v>90104</v>
      </c>
      <c r="B418" s="2" t="s">
        <v>508</v>
      </c>
      <c r="C418" s="2" t="s">
        <v>509</v>
      </c>
      <c r="D418" s="2" t="s">
        <v>513</v>
      </c>
      <c r="E418" s="4">
        <f t="shared" si="6"/>
        <v>0</v>
      </c>
    </row>
    <row r="419" spans="1:5" x14ac:dyDescent="0.25">
      <c r="A419">
        <v>90105</v>
      </c>
      <c r="B419" s="2" t="s">
        <v>508</v>
      </c>
      <c r="C419" s="2" t="s">
        <v>509</v>
      </c>
      <c r="D419" s="2" t="s">
        <v>514</v>
      </c>
      <c r="E419" s="4">
        <f t="shared" si="6"/>
        <v>0</v>
      </c>
    </row>
    <row r="420" spans="1:5" x14ac:dyDescent="0.25">
      <c r="A420">
        <v>90201</v>
      </c>
      <c r="B420" s="2" t="s">
        <v>508</v>
      </c>
      <c r="C420" s="2" t="s">
        <v>515</v>
      </c>
      <c r="D420" s="2" t="s">
        <v>516</v>
      </c>
      <c r="E420" s="4">
        <f t="shared" si="6"/>
        <v>0</v>
      </c>
    </row>
    <row r="421" spans="1:5" x14ac:dyDescent="0.25">
      <c r="A421">
        <v>90202</v>
      </c>
      <c r="B421" s="2" t="s">
        <v>508</v>
      </c>
      <c r="C421" s="2" t="s">
        <v>515</v>
      </c>
      <c r="D421" s="2" t="s">
        <v>517</v>
      </c>
      <c r="E421" s="4">
        <f t="shared" si="6"/>
        <v>0</v>
      </c>
    </row>
    <row r="422" spans="1:5" x14ac:dyDescent="0.25">
      <c r="A422">
        <v>90203</v>
      </c>
      <c r="B422" s="2" t="s">
        <v>508</v>
      </c>
      <c r="C422" s="2" t="s">
        <v>515</v>
      </c>
      <c r="D422" s="2" t="s">
        <v>518</v>
      </c>
      <c r="E422" s="4">
        <f t="shared" si="6"/>
        <v>0</v>
      </c>
    </row>
    <row r="423" spans="1:5" x14ac:dyDescent="0.25">
      <c r="A423">
        <v>90204</v>
      </c>
      <c r="B423" s="2" t="s">
        <v>508</v>
      </c>
      <c r="C423" s="2" t="s">
        <v>515</v>
      </c>
      <c r="D423" s="2" t="s">
        <v>519</v>
      </c>
      <c r="E423" s="4">
        <f t="shared" si="6"/>
        <v>0</v>
      </c>
    </row>
    <row r="424" spans="1:5" x14ac:dyDescent="0.25">
      <c r="A424">
        <v>90205</v>
      </c>
      <c r="B424" s="2" t="s">
        <v>508</v>
      </c>
      <c r="C424" s="2" t="s">
        <v>515</v>
      </c>
      <c r="D424" s="2" t="s">
        <v>137</v>
      </c>
      <c r="E424" s="4">
        <f t="shared" si="6"/>
        <v>0</v>
      </c>
    </row>
    <row r="425" spans="1:5" x14ac:dyDescent="0.25">
      <c r="A425">
        <v>90206</v>
      </c>
      <c r="B425" s="2" t="s">
        <v>508</v>
      </c>
      <c r="C425" s="2" t="s">
        <v>515</v>
      </c>
      <c r="D425" s="2" t="s">
        <v>520</v>
      </c>
      <c r="E425" s="4">
        <f t="shared" si="6"/>
        <v>0</v>
      </c>
    </row>
    <row r="426" spans="1:5" x14ac:dyDescent="0.25">
      <c r="A426">
        <v>90207</v>
      </c>
      <c r="B426" s="2" t="s">
        <v>508</v>
      </c>
      <c r="C426" s="2" t="s">
        <v>515</v>
      </c>
      <c r="D426" s="2" t="s">
        <v>521</v>
      </c>
      <c r="E426" s="4">
        <f t="shared" si="6"/>
        <v>0</v>
      </c>
    </row>
    <row r="427" spans="1:5" x14ac:dyDescent="0.25">
      <c r="A427">
        <v>90208</v>
      </c>
      <c r="B427" s="2" t="s">
        <v>508</v>
      </c>
      <c r="C427" s="2" t="s">
        <v>515</v>
      </c>
      <c r="D427" s="2" t="s">
        <v>522</v>
      </c>
      <c r="E427" s="4">
        <f t="shared" si="6"/>
        <v>0</v>
      </c>
    </row>
    <row r="428" spans="1:5" x14ac:dyDescent="0.25">
      <c r="A428">
        <v>90209</v>
      </c>
      <c r="B428" s="2" t="s">
        <v>508</v>
      </c>
      <c r="C428" s="2" t="s">
        <v>515</v>
      </c>
      <c r="D428" s="2" t="s">
        <v>523</v>
      </c>
      <c r="E428" s="4">
        <f t="shared" si="6"/>
        <v>0</v>
      </c>
    </row>
    <row r="429" spans="1:5" x14ac:dyDescent="0.25">
      <c r="A429">
        <v>90209</v>
      </c>
      <c r="B429" s="2" t="s">
        <v>508</v>
      </c>
      <c r="C429" s="2" t="s">
        <v>515</v>
      </c>
      <c r="D429" s="2" t="s">
        <v>523</v>
      </c>
      <c r="E429" s="4">
        <f t="shared" si="6"/>
        <v>0</v>
      </c>
    </row>
    <row r="430" spans="1:5" x14ac:dyDescent="0.25">
      <c r="A430">
        <v>90210</v>
      </c>
      <c r="B430" s="2" t="s">
        <v>508</v>
      </c>
      <c r="C430" s="2" t="s">
        <v>515</v>
      </c>
      <c r="D430" s="2" t="s">
        <v>524</v>
      </c>
      <c r="E430" s="4">
        <f t="shared" si="6"/>
        <v>0</v>
      </c>
    </row>
    <row r="431" spans="1:5" x14ac:dyDescent="0.25">
      <c r="A431">
        <v>90211</v>
      </c>
      <c r="B431" s="2" t="s">
        <v>508</v>
      </c>
      <c r="C431" s="2" t="s">
        <v>515</v>
      </c>
      <c r="D431" s="2" t="s">
        <v>525</v>
      </c>
      <c r="E431" s="4">
        <f t="shared" si="6"/>
        <v>0</v>
      </c>
    </row>
    <row r="432" spans="1:5" x14ac:dyDescent="0.25">
      <c r="A432">
        <v>90212</v>
      </c>
      <c r="B432" s="2" t="s">
        <v>508</v>
      </c>
      <c r="C432" s="2" t="s">
        <v>515</v>
      </c>
      <c r="D432" s="2" t="s">
        <v>402</v>
      </c>
      <c r="E432" s="4">
        <f t="shared" si="6"/>
        <v>0</v>
      </c>
    </row>
    <row r="433" spans="1:5" x14ac:dyDescent="0.25">
      <c r="A433">
        <v>90301</v>
      </c>
      <c r="B433" s="2" t="s">
        <v>508</v>
      </c>
      <c r="C433" s="2" t="s">
        <v>526</v>
      </c>
      <c r="D433" s="2" t="s">
        <v>527</v>
      </c>
      <c r="E433" s="4">
        <f t="shared" si="6"/>
        <v>0</v>
      </c>
    </row>
    <row r="434" spans="1:5" x14ac:dyDescent="0.25">
      <c r="A434">
        <v>90302</v>
      </c>
      <c r="B434" s="2" t="s">
        <v>508</v>
      </c>
      <c r="C434" s="2" t="s">
        <v>526</v>
      </c>
      <c r="D434" s="2" t="s">
        <v>528</v>
      </c>
      <c r="E434" s="4">
        <f t="shared" si="6"/>
        <v>0</v>
      </c>
    </row>
    <row r="435" spans="1:5" x14ac:dyDescent="0.25">
      <c r="A435">
        <v>90303</v>
      </c>
      <c r="B435" s="2" t="s">
        <v>508</v>
      </c>
      <c r="C435" s="2" t="s">
        <v>526</v>
      </c>
      <c r="D435" s="2" t="s">
        <v>529</v>
      </c>
      <c r="E435" s="4">
        <f t="shared" si="6"/>
        <v>0</v>
      </c>
    </row>
    <row r="436" spans="1:5" x14ac:dyDescent="0.25">
      <c r="A436">
        <v>90304</v>
      </c>
      <c r="B436" s="2" t="s">
        <v>508</v>
      </c>
      <c r="C436" s="2" t="s">
        <v>526</v>
      </c>
      <c r="D436" s="2" t="s">
        <v>530</v>
      </c>
      <c r="E436" s="4">
        <f t="shared" si="6"/>
        <v>0</v>
      </c>
    </row>
    <row r="437" spans="1:5" x14ac:dyDescent="0.25">
      <c r="A437">
        <v>90305</v>
      </c>
      <c r="B437" s="2" t="s">
        <v>508</v>
      </c>
      <c r="C437" s="2" t="s">
        <v>526</v>
      </c>
      <c r="D437" s="2" t="s">
        <v>402</v>
      </c>
      <c r="E437" s="4">
        <f t="shared" si="6"/>
        <v>0</v>
      </c>
    </row>
    <row r="438" spans="1:5" x14ac:dyDescent="0.25">
      <c r="A438">
        <v>90306</v>
      </c>
      <c r="B438" s="2" t="s">
        <v>508</v>
      </c>
      <c r="C438" s="2" t="s">
        <v>526</v>
      </c>
      <c r="D438" s="2" t="s">
        <v>531</v>
      </c>
      <c r="E438" s="4">
        <f t="shared" si="6"/>
        <v>0</v>
      </c>
    </row>
    <row r="439" spans="1:5" x14ac:dyDescent="0.25">
      <c r="A439">
        <v>90307</v>
      </c>
      <c r="B439" s="2" t="s">
        <v>508</v>
      </c>
      <c r="C439" s="2" t="s">
        <v>526</v>
      </c>
      <c r="D439" s="2" t="s">
        <v>532</v>
      </c>
      <c r="E439" s="4">
        <f t="shared" si="6"/>
        <v>0</v>
      </c>
    </row>
    <row r="440" spans="1:5" x14ac:dyDescent="0.25">
      <c r="A440">
        <v>90308</v>
      </c>
      <c r="B440" s="2" t="s">
        <v>508</v>
      </c>
      <c r="C440" s="2" t="s">
        <v>526</v>
      </c>
      <c r="D440" s="2" t="s">
        <v>410</v>
      </c>
      <c r="E440" s="4">
        <f t="shared" si="6"/>
        <v>0</v>
      </c>
    </row>
    <row r="441" spans="1:5" x14ac:dyDescent="0.25">
      <c r="A441">
        <v>90401</v>
      </c>
      <c r="B441" s="2" t="s">
        <v>508</v>
      </c>
      <c r="C441" s="2" t="s">
        <v>425</v>
      </c>
      <c r="D441" s="2" t="s">
        <v>533</v>
      </c>
      <c r="E441" s="4">
        <f t="shared" si="6"/>
        <v>0</v>
      </c>
    </row>
    <row r="442" spans="1:5" x14ac:dyDescent="0.25">
      <c r="A442">
        <v>90402</v>
      </c>
      <c r="B442" s="2" t="s">
        <v>508</v>
      </c>
      <c r="C442" s="2" t="s">
        <v>425</v>
      </c>
      <c r="D442" s="2" t="s">
        <v>534</v>
      </c>
      <c r="E442" s="4">
        <f t="shared" si="6"/>
        <v>0</v>
      </c>
    </row>
    <row r="443" spans="1:5" x14ac:dyDescent="0.25">
      <c r="A443">
        <v>90403</v>
      </c>
      <c r="B443" s="2" t="s">
        <v>508</v>
      </c>
      <c r="C443" s="2" t="s">
        <v>425</v>
      </c>
      <c r="D443" s="2" t="s">
        <v>535</v>
      </c>
      <c r="E443" s="4">
        <f t="shared" si="6"/>
        <v>0</v>
      </c>
    </row>
    <row r="444" spans="1:5" x14ac:dyDescent="0.25">
      <c r="A444">
        <v>90404</v>
      </c>
      <c r="B444" s="2" t="s">
        <v>508</v>
      </c>
      <c r="C444" s="2" t="s">
        <v>425</v>
      </c>
      <c r="D444" s="2" t="s">
        <v>138</v>
      </c>
      <c r="E444" s="4">
        <f t="shared" si="6"/>
        <v>0</v>
      </c>
    </row>
    <row r="445" spans="1:5" x14ac:dyDescent="0.25">
      <c r="A445">
        <v>90405</v>
      </c>
      <c r="B445" s="2" t="s">
        <v>508</v>
      </c>
      <c r="C445" s="2" t="s">
        <v>425</v>
      </c>
      <c r="D445" s="2" t="s">
        <v>536</v>
      </c>
      <c r="E445" s="4">
        <f t="shared" si="6"/>
        <v>0</v>
      </c>
    </row>
    <row r="446" spans="1:5" x14ac:dyDescent="0.25">
      <c r="A446">
        <v>90406</v>
      </c>
      <c r="B446" s="2" t="s">
        <v>508</v>
      </c>
      <c r="C446" s="2" t="s">
        <v>425</v>
      </c>
      <c r="D446" s="2" t="s">
        <v>537</v>
      </c>
      <c r="E446" s="4">
        <f t="shared" si="6"/>
        <v>0</v>
      </c>
    </row>
    <row r="447" spans="1:5" x14ac:dyDescent="0.25">
      <c r="A447">
        <v>90501</v>
      </c>
      <c r="B447" s="2" t="s">
        <v>508</v>
      </c>
      <c r="C447" s="2" t="s">
        <v>426</v>
      </c>
      <c r="D447" s="2" t="s">
        <v>538</v>
      </c>
      <c r="E447" s="4">
        <f t="shared" si="6"/>
        <v>0</v>
      </c>
    </row>
    <row r="448" spans="1:5" x14ac:dyDescent="0.25">
      <c r="A448">
        <v>90502</v>
      </c>
      <c r="B448" s="2" t="s">
        <v>508</v>
      </c>
      <c r="C448" s="2" t="s">
        <v>426</v>
      </c>
      <c r="D448" s="2" t="s">
        <v>539</v>
      </c>
      <c r="E448" s="4">
        <f t="shared" si="6"/>
        <v>0</v>
      </c>
    </row>
    <row r="449" spans="1:5" x14ac:dyDescent="0.25">
      <c r="A449">
        <v>90503</v>
      </c>
      <c r="B449" s="2" t="s">
        <v>508</v>
      </c>
      <c r="C449" s="2" t="s">
        <v>426</v>
      </c>
      <c r="D449" s="2" t="s">
        <v>422</v>
      </c>
      <c r="E449" s="4">
        <f t="shared" si="6"/>
        <v>0</v>
      </c>
    </row>
    <row r="450" spans="1:5" x14ac:dyDescent="0.25">
      <c r="A450">
        <v>90504</v>
      </c>
      <c r="B450" s="2" t="s">
        <v>508</v>
      </c>
      <c r="C450" s="2" t="s">
        <v>426</v>
      </c>
      <c r="D450" s="2" t="s">
        <v>540</v>
      </c>
      <c r="E450" s="4">
        <f t="shared" si="6"/>
        <v>0</v>
      </c>
    </row>
    <row r="451" spans="1:5" x14ac:dyDescent="0.25">
      <c r="A451">
        <v>90505</v>
      </c>
      <c r="B451" s="2" t="s">
        <v>508</v>
      </c>
      <c r="C451" s="2" t="s">
        <v>426</v>
      </c>
      <c r="D451" s="2" t="s">
        <v>541</v>
      </c>
      <c r="E451" s="4">
        <f t="shared" si="6"/>
        <v>0</v>
      </c>
    </row>
    <row r="452" spans="1:5" x14ac:dyDescent="0.25">
      <c r="A452">
        <v>90506</v>
      </c>
      <c r="B452" s="2" t="s">
        <v>508</v>
      </c>
      <c r="C452" s="2" t="s">
        <v>426</v>
      </c>
      <c r="D452" s="2" t="s">
        <v>371</v>
      </c>
      <c r="E452" s="4">
        <f t="shared" si="6"/>
        <v>0</v>
      </c>
    </row>
    <row r="453" spans="1:5" x14ac:dyDescent="0.25">
      <c r="A453">
        <v>90507</v>
      </c>
      <c r="B453" s="2" t="s">
        <v>508</v>
      </c>
      <c r="C453" s="2" t="s">
        <v>426</v>
      </c>
      <c r="D453" s="2" t="s">
        <v>542</v>
      </c>
      <c r="E453" s="4">
        <f t="shared" ref="E453:E516" si="7">SUM(F453:AEZ453)</f>
        <v>0</v>
      </c>
    </row>
    <row r="454" spans="1:5" x14ac:dyDescent="0.25">
      <c r="A454">
        <v>90508</v>
      </c>
      <c r="B454" s="2" t="s">
        <v>508</v>
      </c>
      <c r="C454" s="2" t="s">
        <v>426</v>
      </c>
      <c r="D454" s="2" t="s">
        <v>543</v>
      </c>
      <c r="E454" s="4">
        <f t="shared" si="7"/>
        <v>0</v>
      </c>
    </row>
    <row r="455" spans="1:5" x14ac:dyDescent="0.25">
      <c r="A455">
        <v>90509</v>
      </c>
      <c r="B455" s="2" t="s">
        <v>508</v>
      </c>
      <c r="C455" s="2" t="s">
        <v>426</v>
      </c>
      <c r="D455" s="2" t="s">
        <v>544</v>
      </c>
      <c r="E455" s="4">
        <f t="shared" si="7"/>
        <v>0</v>
      </c>
    </row>
    <row r="456" spans="1:5" x14ac:dyDescent="0.25">
      <c r="A456">
        <v>90510</v>
      </c>
      <c r="B456" s="2" t="s">
        <v>508</v>
      </c>
      <c r="C456" s="2" t="s">
        <v>426</v>
      </c>
      <c r="D456" s="2" t="s">
        <v>545</v>
      </c>
      <c r="E456" s="4">
        <f t="shared" si="7"/>
        <v>0</v>
      </c>
    </row>
    <row r="457" spans="1:5" x14ac:dyDescent="0.25">
      <c r="A457">
        <v>90511</v>
      </c>
      <c r="B457" s="2" t="s">
        <v>508</v>
      </c>
      <c r="C457" s="2" t="s">
        <v>426</v>
      </c>
      <c r="D457" s="2" t="s">
        <v>546</v>
      </c>
      <c r="E457" s="4">
        <f t="shared" si="7"/>
        <v>0</v>
      </c>
    </row>
    <row r="458" spans="1:5" x14ac:dyDescent="0.25">
      <c r="A458">
        <v>90512</v>
      </c>
      <c r="B458" s="2" t="s">
        <v>508</v>
      </c>
      <c r="C458" s="2" t="s">
        <v>426</v>
      </c>
      <c r="D458" s="2" t="s">
        <v>547</v>
      </c>
      <c r="E458" s="4">
        <f t="shared" si="7"/>
        <v>0</v>
      </c>
    </row>
    <row r="459" spans="1:5" x14ac:dyDescent="0.25">
      <c r="A459">
        <v>90601</v>
      </c>
      <c r="B459" s="2" t="s">
        <v>508</v>
      </c>
      <c r="C459" s="2" t="s">
        <v>548</v>
      </c>
      <c r="D459" s="2" t="s">
        <v>549</v>
      </c>
      <c r="E459" s="4">
        <f t="shared" si="7"/>
        <v>0</v>
      </c>
    </row>
    <row r="460" spans="1:5" x14ac:dyDescent="0.25">
      <c r="A460">
        <v>90602</v>
      </c>
      <c r="B460" s="2" t="s">
        <v>508</v>
      </c>
      <c r="C460" s="2" t="s">
        <v>548</v>
      </c>
      <c r="D460" s="2" t="s">
        <v>550</v>
      </c>
      <c r="E460" s="4">
        <f t="shared" si="7"/>
        <v>0</v>
      </c>
    </row>
    <row r="461" spans="1:5" x14ac:dyDescent="0.25">
      <c r="A461">
        <v>90603</v>
      </c>
      <c r="B461" s="2" t="s">
        <v>508</v>
      </c>
      <c r="C461" s="2" t="s">
        <v>548</v>
      </c>
      <c r="D461" s="2" t="s">
        <v>551</v>
      </c>
      <c r="E461" s="4">
        <f t="shared" si="7"/>
        <v>0</v>
      </c>
    </row>
    <row r="462" spans="1:5" x14ac:dyDescent="0.25">
      <c r="A462">
        <v>90604</v>
      </c>
      <c r="B462" s="2" t="s">
        <v>508</v>
      </c>
      <c r="C462" s="2" t="s">
        <v>548</v>
      </c>
      <c r="D462" s="2" t="s">
        <v>333</v>
      </c>
      <c r="E462" s="4">
        <f t="shared" si="7"/>
        <v>0</v>
      </c>
    </row>
    <row r="463" spans="1:5" x14ac:dyDescent="0.25">
      <c r="A463">
        <v>90605</v>
      </c>
      <c r="B463" s="2" t="s">
        <v>508</v>
      </c>
      <c r="C463" s="2" t="s">
        <v>548</v>
      </c>
      <c r="D463" s="2" t="s">
        <v>552</v>
      </c>
      <c r="E463" s="4">
        <f t="shared" si="7"/>
        <v>0</v>
      </c>
    </row>
    <row r="464" spans="1:5" x14ac:dyDescent="0.25">
      <c r="A464">
        <v>90606</v>
      </c>
      <c r="B464" s="2" t="s">
        <v>508</v>
      </c>
      <c r="C464" s="2" t="s">
        <v>548</v>
      </c>
      <c r="D464" s="2" t="s">
        <v>553</v>
      </c>
      <c r="E464" s="4">
        <f t="shared" si="7"/>
        <v>0</v>
      </c>
    </row>
    <row r="465" spans="1:5" x14ac:dyDescent="0.25">
      <c r="A465">
        <v>90607</v>
      </c>
      <c r="B465" s="2" t="s">
        <v>508</v>
      </c>
      <c r="C465" s="2" t="s">
        <v>548</v>
      </c>
      <c r="D465" s="2" t="s">
        <v>554</v>
      </c>
      <c r="E465" s="4">
        <f t="shared" si="7"/>
        <v>0</v>
      </c>
    </row>
    <row r="466" spans="1:5" x14ac:dyDescent="0.25">
      <c r="A466">
        <v>90608</v>
      </c>
      <c r="B466" s="2" t="s">
        <v>508</v>
      </c>
      <c r="C466" s="2" t="s">
        <v>548</v>
      </c>
      <c r="D466" s="2" t="s">
        <v>555</v>
      </c>
      <c r="E466" s="4">
        <f t="shared" si="7"/>
        <v>0</v>
      </c>
    </row>
    <row r="467" spans="1:5" x14ac:dyDescent="0.25">
      <c r="A467">
        <v>90701</v>
      </c>
      <c r="B467" s="2" t="s">
        <v>508</v>
      </c>
      <c r="C467" s="2" t="s">
        <v>556</v>
      </c>
      <c r="D467" s="2" t="s">
        <v>557</v>
      </c>
      <c r="E467" s="4">
        <f t="shared" si="7"/>
        <v>0</v>
      </c>
    </row>
    <row r="468" spans="1:5" x14ac:dyDescent="0.25">
      <c r="A468">
        <v>90702</v>
      </c>
      <c r="B468" s="2" t="s">
        <v>508</v>
      </c>
      <c r="C468" s="2" t="s">
        <v>556</v>
      </c>
      <c r="D468" s="2" t="s">
        <v>146</v>
      </c>
      <c r="E468" s="4">
        <f t="shared" si="7"/>
        <v>0</v>
      </c>
    </row>
    <row r="469" spans="1:5" x14ac:dyDescent="0.25">
      <c r="A469">
        <v>90703</v>
      </c>
      <c r="B469" s="2" t="s">
        <v>508</v>
      </c>
      <c r="C469" s="2" t="s">
        <v>556</v>
      </c>
      <c r="D469" s="2" t="s">
        <v>354</v>
      </c>
      <c r="E469" s="4">
        <f t="shared" si="7"/>
        <v>0</v>
      </c>
    </row>
    <row r="470" spans="1:5" x14ac:dyDescent="0.25">
      <c r="A470">
        <v>90704</v>
      </c>
      <c r="B470" s="2" t="s">
        <v>508</v>
      </c>
      <c r="C470" s="2" t="s">
        <v>556</v>
      </c>
      <c r="D470" s="2" t="s">
        <v>558</v>
      </c>
      <c r="E470" s="4">
        <f t="shared" si="7"/>
        <v>0</v>
      </c>
    </row>
    <row r="471" spans="1:5" x14ac:dyDescent="0.25">
      <c r="A471">
        <v>90705</v>
      </c>
      <c r="B471" s="2" t="s">
        <v>508</v>
      </c>
      <c r="C471" s="2" t="s">
        <v>556</v>
      </c>
      <c r="D471" s="2" t="s">
        <v>559</v>
      </c>
      <c r="E471" s="4">
        <f t="shared" si="7"/>
        <v>0</v>
      </c>
    </row>
    <row r="472" spans="1:5" x14ac:dyDescent="0.25">
      <c r="A472">
        <v>90801</v>
      </c>
      <c r="B472" s="2" t="s">
        <v>508</v>
      </c>
      <c r="C472" s="2" t="s">
        <v>479</v>
      </c>
      <c r="D472" s="2" t="s">
        <v>560</v>
      </c>
      <c r="E472" s="4">
        <f t="shared" si="7"/>
        <v>0</v>
      </c>
    </row>
    <row r="473" spans="1:5" x14ac:dyDescent="0.25">
      <c r="A473">
        <v>90802</v>
      </c>
      <c r="B473" s="2" t="s">
        <v>508</v>
      </c>
      <c r="C473" s="2" t="s">
        <v>479</v>
      </c>
      <c r="D473" s="2" t="s">
        <v>561</v>
      </c>
      <c r="E473" s="4">
        <f t="shared" si="7"/>
        <v>0</v>
      </c>
    </row>
    <row r="474" spans="1:5" x14ac:dyDescent="0.25">
      <c r="A474">
        <v>90803</v>
      </c>
      <c r="B474" s="2" t="s">
        <v>508</v>
      </c>
      <c r="C474" s="2" t="s">
        <v>479</v>
      </c>
      <c r="D474" s="2" t="s">
        <v>562</v>
      </c>
      <c r="E474" s="4">
        <f t="shared" si="7"/>
        <v>0</v>
      </c>
    </row>
    <row r="475" spans="1:5" x14ac:dyDescent="0.25">
      <c r="A475">
        <v>90804</v>
      </c>
      <c r="B475" s="2" t="s">
        <v>508</v>
      </c>
      <c r="C475" s="2" t="s">
        <v>479</v>
      </c>
      <c r="D475" s="2" t="s">
        <v>563</v>
      </c>
      <c r="E475" s="4">
        <f t="shared" si="7"/>
        <v>0</v>
      </c>
    </row>
    <row r="476" spans="1:5" x14ac:dyDescent="0.25">
      <c r="A476">
        <v>90805</v>
      </c>
      <c r="B476" s="2" t="s">
        <v>508</v>
      </c>
      <c r="C476" s="2" t="s">
        <v>479</v>
      </c>
      <c r="D476" s="2" t="s">
        <v>176</v>
      </c>
      <c r="E476" s="4">
        <f t="shared" si="7"/>
        <v>0</v>
      </c>
    </row>
    <row r="477" spans="1:5" x14ac:dyDescent="0.25">
      <c r="A477">
        <v>90806</v>
      </c>
      <c r="B477" s="2" t="s">
        <v>508</v>
      </c>
      <c r="C477" s="2" t="s">
        <v>479</v>
      </c>
      <c r="D477" s="2" t="s">
        <v>402</v>
      </c>
      <c r="E477" s="4">
        <f t="shared" si="7"/>
        <v>0</v>
      </c>
    </row>
    <row r="478" spans="1:5" x14ac:dyDescent="0.25">
      <c r="A478">
        <v>90901</v>
      </c>
      <c r="B478" s="2" t="s">
        <v>508</v>
      </c>
      <c r="C478" s="2" t="s">
        <v>564</v>
      </c>
      <c r="D478" s="2" t="s">
        <v>565</v>
      </c>
      <c r="E478" s="4">
        <f t="shared" si="7"/>
        <v>0</v>
      </c>
    </row>
    <row r="479" spans="1:5" x14ac:dyDescent="0.25">
      <c r="A479">
        <v>90902</v>
      </c>
      <c r="B479" s="2" t="s">
        <v>508</v>
      </c>
      <c r="C479" s="2" t="s">
        <v>564</v>
      </c>
      <c r="D479" s="2" t="s">
        <v>566</v>
      </c>
      <c r="E479" s="4">
        <f t="shared" si="7"/>
        <v>0</v>
      </c>
    </row>
    <row r="480" spans="1:5" x14ac:dyDescent="0.25">
      <c r="A480">
        <v>90903</v>
      </c>
      <c r="B480" s="2" t="s">
        <v>508</v>
      </c>
      <c r="C480" s="2" t="s">
        <v>564</v>
      </c>
      <c r="D480" s="2" t="s">
        <v>567</v>
      </c>
      <c r="E480" s="4">
        <f t="shared" si="7"/>
        <v>0</v>
      </c>
    </row>
    <row r="481" spans="1:5" x14ac:dyDescent="0.25">
      <c r="A481">
        <v>90904</v>
      </c>
      <c r="B481" s="2" t="s">
        <v>508</v>
      </c>
      <c r="C481" s="2" t="s">
        <v>564</v>
      </c>
      <c r="D481" s="2" t="s">
        <v>568</v>
      </c>
      <c r="E481" s="4">
        <f t="shared" si="7"/>
        <v>0</v>
      </c>
    </row>
    <row r="482" spans="1:5" x14ac:dyDescent="0.25">
      <c r="A482">
        <v>90905</v>
      </c>
      <c r="B482" s="2" t="s">
        <v>508</v>
      </c>
      <c r="C482" s="2" t="s">
        <v>564</v>
      </c>
      <c r="D482" s="2" t="s">
        <v>569</v>
      </c>
      <c r="E482" s="4">
        <f t="shared" si="7"/>
        <v>0</v>
      </c>
    </row>
    <row r="483" spans="1:5" x14ac:dyDescent="0.25">
      <c r="A483">
        <v>90906</v>
      </c>
      <c r="B483" s="2" t="s">
        <v>508</v>
      </c>
      <c r="C483" s="2" t="s">
        <v>564</v>
      </c>
      <c r="D483" s="2" t="s">
        <v>570</v>
      </c>
      <c r="E483" s="4">
        <f t="shared" si="7"/>
        <v>0</v>
      </c>
    </row>
    <row r="484" spans="1:5" x14ac:dyDescent="0.25">
      <c r="A484">
        <v>90907</v>
      </c>
      <c r="B484" s="2" t="s">
        <v>508</v>
      </c>
      <c r="C484" s="2" t="s">
        <v>564</v>
      </c>
      <c r="D484" s="2" t="s">
        <v>571</v>
      </c>
      <c r="E484" s="4">
        <f t="shared" si="7"/>
        <v>0</v>
      </c>
    </row>
    <row r="485" spans="1:5" x14ac:dyDescent="0.25">
      <c r="A485">
        <v>90908</v>
      </c>
      <c r="B485" s="2" t="s">
        <v>508</v>
      </c>
      <c r="C485" s="2" t="s">
        <v>564</v>
      </c>
      <c r="D485" s="2" t="s">
        <v>572</v>
      </c>
      <c r="E485" s="4">
        <f t="shared" si="7"/>
        <v>0</v>
      </c>
    </row>
    <row r="486" spans="1:5" x14ac:dyDescent="0.25">
      <c r="A486">
        <v>91001</v>
      </c>
      <c r="B486" s="2" t="s">
        <v>508</v>
      </c>
      <c r="C486" s="2" t="s">
        <v>573</v>
      </c>
      <c r="D486" s="2" t="s">
        <v>574</v>
      </c>
      <c r="E486" s="4">
        <f t="shared" si="7"/>
        <v>0</v>
      </c>
    </row>
    <row r="487" spans="1:5" x14ac:dyDescent="0.25">
      <c r="A487">
        <v>91002</v>
      </c>
      <c r="B487" s="2" t="s">
        <v>508</v>
      </c>
      <c r="C487" s="2" t="s">
        <v>573</v>
      </c>
      <c r="D487" s="2" t="s">
        <v>408</v>
      </c>
      <c r="E487" s="4">
        <f t="shared" si="7"/>
        <v>0</v>
      </c>
    </row>
    <row r="488" spans="1:5" x14ac:dyDescent="0.25">
      <c r="A488">
        <v>91003</v>
      </c>
      <c r="B488" s="2" t="s">
        <v>508</v>
      </c>
      <c r="C488" s="2" t="s">
        <v>573</v>
      </c>
      <c r="D488" s="2" t="s">
        <v>575</v>
      </c>
      <c r="E488" s="4">
        <f t="shared" si="7"/>
        <v>0</v>
      </c>
    </row>
    <row r="489" spans="1:5" x14ac:dyDescent="0.25">
      <c r="A489">
        <v>91004</v>
      </c>
      <c r="B489" s="2" t="s">
        <v>508</v>
      </c>
      <c r="C489" s="2" t="s">
        <v>573</v>
      </c>
      <c r="D489" s="2" t="s">
        <v>576</v>
      </c>
      <c r="E489" s="4">
        <f t="shared" si="7"/>
        <v>0</v>
      </c>
    </row>
    <row r="490" spans="1:5" x14ac:dyDescent="0.25">
      <c r="A490">
        <v>91005</v>
      </c>
      <c r="B490" s="2" t="s">
        <v>508</v>
      </c>
      <c r="C490" s="2" t="s">
        <v>573</v>
      </c>
      <c r="D490" s="2" t="s">
        <v>577</v>
      </c>
      <c r="E490" s="4">
        <f t="shared" si="7"/>
        <v>0</v>
      </c>
    </row>
    <row r="491" spans="1:5" x14ac:dyDescent="0.25">
      <c r="A491">
        <v>91006</v>
      </c>
      <c r="B491" s="2" t="s">
        <v>508</v>
      </c>
      <c r="C491" s="2" t="s">
        <v>573</v>
      </c>
      <c r="D491" s="2" t="s">
        <v>578</v>
      </c>
      <c r="E491" s="4">
        <f t="shared" si="7"/>
        <v>0</v>
      </c>
    </row>
    <row r="492" spans="1:5" x14ac:dyDescent="0.25">
      <c r="A492">
        <v>91007</v>
      </c>
      <c r="B492" s="2" t="s">
        <v>508</v>
      </c>
      <c r="C492" s="2" t="s">
        <v>573</v>
      </c>
      <c r="D492" s="2" t="s">
        <v>579</v>
      </c>
      <c r="E492" s="4">
        <f t="shared" si="7"/>
        <v>0</v>
      </c>
    </row>
    <row r="493" spans="1:5" x14ac:dyDescent="0.25">
      <c r="A493">
        <v>91008</v>
      </c>
      <c r="B493" s="2" t="s">
        <v>508</v>
      </c>
      <c r="C493" s="2" t="s">
        <v>573</v>
      </c>
      <c r="D493" s="2" t="s">
        <v>263</v>
      </c>
      <c r="E493" s="4">
        <f t="shared" si="7"/>
        <v>0</v>
      </c>
    </row>
    <row r="494" spans="1:5" x14ac:dyDescent="0.25">
      <c r="A494">
        <v>91009</v>
      </c>
      <c r="B494" s="2" t="s">
        <v>508</v>
      </c>
      <c r="C494" s="2" t="s">
        <v>573</v>
      </c>
      <c r="D494" s="2" t="s">
        <v>580</v>
      </c>
      <c r="E494" s="4">
        <f t="shared" si="7"/>
        <v>0</v>
      </c>
    </row>
    <row r="495" spans="1:5" x14ac:dyDescent="0.25">
      <c r="A495">
        <v>91010</v>
      </c>
      <c r="B495" s="2" t="s">
        <v>508</v>
      </c>
      <c r="C495" s="2" t="s">
        <v>573</v>
      </c>
      <c r="D495" s="2" t="s">
        <v>581</v>
      </c>
      <c r="E495" s="4">
        <f t="shared" si="7"/>
        <v>0</v>
      </c>
    </row>
    <row r="496" spans="1:5" x14ac:dyDescent="0.25">
      <c r="A496">
        <v>91011</v>
      </c>
      <c r="B496" s="2" t="s">
        <v>508</v>
      </c>
      <c r="C496" s="2" t="s">
        <v>573</v>
      </c>
      <c r="D496" s="2" t="s">
        <v>545</v>
      </c>
      <c r="E496" s="4">
        <f t="shared" si="7"/>
        <v>0</v>
      </c>
    </row>
    <row r="497" spans="1:5" x14ac:dyDescent="0.25">
      <c r="A497">
        <v>91012</v>
      </c>
      <c r="B497" s="2" t="s">
        <v>508</v>
      </c>
      <c r="C497" s="2" t="s">
        <v>573</v>
      </c>
      <c r="D497" s="2" t="s">
        <v>582</v>
      </c>
      <c r="E497" s="4">
        <f t="shared" si="7"/>
        <v>0</v>
      </c>
    </row>
    <row r="498" spans="1:5" x14ac:dyDescent="0.25">
      <c r="A498">
        <v>91101</v>
      </c>
      <c r="B498" s="2" t="s">
        <v>508</v>
      </c>
      <c r="C498" s="2" t="s">
        <v>583</v>
      </c>
      <c r="D498" s="2" t="s">
        <v>584</v>
      </c>
      <c r="E498" s="4">
        <f t="shared" si="7"/>
        <v>0</v>
      </c>
    </row>
    <row r="499" spans="1:5" x14ac:dyDescent="0.25">
      <c r="A499">
        <v>91102</v>
      </c>
      <c r="B499" s="2" t="s">
        <v>508</v>
      </c>
      <c r="C499" s="2" t="s">
        <v>583</v>
      </c>
      <c r="D499" s="2" t="s">
        <v>420</v>
      </c>
      <c r="E499" s="4">
        <f t="shared" si="7"/>
        <v>0</v>
      </c>
    </row>
    <row r="500" spans="1:5" x14ac:dyDescent="0.25">
      <c r="A500">
        <v>91103</v>
      </c>
      <c r="B500" s="2" t="s">
        <v>508</v>
      </c>
      <c r="C500" s="2" t="s">
        <v>583</v>
      </c>
      <c r="D500" s="2" t="s">
        <v>585</v>
      </c>
      <c r="E500" s="4">
        <f t="shared" si="7"/>
        <v>0</v>
      </c>
    </row>
    <row r="501" spans="1:5" x14ac:dyDescent="0.25">
      <c r="A501">
        <v>91104</v>
      </c>
      <c r="B501" s="2" t="s">
        <v>508</v>
      </c>
      <c r="C501" s="2" t="s">
        <v>583</v>
      </c>
      <c r="D501" s="2" t="s">
        <v>586</v>
      </c>
      <c r="E501" s="4">
        <f t="shared" si="7"/>
        <v>0</v>
      </c>
    </row>
    <row r="502" spans="1:5" x14ac:dyDescent="0.25">
      <c r="A502">
        <v>91105</v>
      </c>
      <c r="B502" s="2" t="s">
        <v>508</v>
      </c>
      <c r="C502" s="2" t="s">
        <v>583</v>
      </c>
      <c r="D502" s="2" t="s">
        <v>587</v>
      </c>
      <c r="E502" s="4">
        <f t="shared" si="7"/>
        <v>0</v>
      </c>
    </row>
    <row r="503" spans="1:5" x14ac:dyDescent="0.25">
      <c r="A503">
        <v>91106</v>
      </c>
      <c r="B503" s="2" t="s">
        <v>508</v>
      </c>
      <c r="C503" s="2" t="s">
        <v>583</v>
      </c>
      <c r="D503" s="2" t="s">
        <v>210</v>
      </c>
      <c r="E503" s="4">
        <f t="shared" si="7"/>
        <v>0</v>
      </c>
    </row>
    <row r="504" spans="1:5" x14ac:dyDescent="0.25">
      <c r="A504">
        <v>91107</v>
      </c>
      <c r="B504" s="2" t="s">
        <v>508</v>
      </c>
      <c r="C504" s="2" t="s">
        <v>583</v>
      </c>
      <c r="D504" s="2" t="s">
        <v>588</v>
      </c>
      <c r="E504" s="4">
        <f t="shared" si="7"/>
        <v>0</v>
      </c>
    </row>
    <row r="505" spans="1:5" x14ac:dyDescent="0.25">
      <c r="A505">
        <v>91108</v>
      </c>
      <c r="B505" s="2" t="s">
        <v>508</v>
      </c>
      <c r="C505" s="2" t="s">
        <v>583</v>
      </c>
      <c r="D505" s="2" t="s">
        <v>589</v>
      </c>
      <c r="E505" s="4">
        <f t="shared" si="7"/>
        <v>0</v>
      </c>
    </row>
    <row r="506" spans="1:5" x14ac:dyDescent="0.25">
      <c r="A506">
        <v>91109</v>
      </c>
      <c r="B506" s="2" t="s">
        <v>508</v>
      </c>
      <c r="C506" s="2" t="s">
        <v>583</v>
      </c>
      <c r="D506" s="2" t="s">
        <v>160</v>
      </c>
      <c r="E506" s="4">
        <f t="shared" si="7"/>
        <v>0</v>
      </c>
    </row>
    <row r="507" spans="1:5" x14ac:dyDescent="0.25">
      <c r="A507">
        <v>91110</v>
      </c>
      <c r="B507" s="2" t="s">
        <v>508</v>
      </c>
      <c r="C507" s="2" t="s">
        <v>583</v>
      </c>
      <c r="D507" s="2" t="s">
        <v>590</v>
      </c>
      <c r="E507" s="4">
        <f t="shared" si="7"/>
        <v>0</v>
      </c>
    </row>
    <row r="508" spans="1:5" ht="24" x14ac:dyDescent="0.25">
      <c r="A508">
        <v>91201</v>
      </c>
      <c r="B508" s="2" t="s">
        <v>508</v>
      </c>
      <c r="C508" s="2" t="s">
        <v>591</v>
      </c>
      <c r="D508" s="2" t="s">
        <v>592</v>
      </c>
      <c r="E508" s="4">
        <f t="shared" si="7"/>
        <v>0</v>
      </c>
    </row>
    <row r="509" spans="1:5" x14ac:dyDescent="0.25">
      <c r="A509">
        <v>91202</v>
      </c>
      <c r="B509" s="2" t="s">
        <v>508</v>
      </c>
      <c r="C509" s="2" t="s">
        <v>591</v>
      </c>
      <c r="D509" s="2" t="s">
        <v>593</v>
      </c>
      <c r="E509" s="4">
        <f t="shared" si="7"/>
        <v>0</v>
      </c>
    </row>
    <row r="510" spans="1:5" x14ac:dyDescent="0.25">
      <c r="A510">
        <v>91203</v>
      </c>
      <c r="B510" s="2" t="s">
        <v>508</v>
      </c>
      <c r="C510" s="2" t="s">
        <v>591</v>
      </c>
      <c r="D510" s="2" t="s">
        <v>444</v>
      </c>
      <c r="E510" s="4">
        <f t="shared" si="7"/>
        <v>0</v>
      </c>
    </row>
    <row r="511" spans="1:5" x14ac:dyDescent="0.25">
      <c r="A511">
        <v>91204</v>
      </c>
      <c r="B511" s="2" t="s">
        <v>508</v>
      </c>
      <c r="C511" s="2" t="s">
        <v>591</v>
      </c>
      <c r="D511" s="2" t="s">
        <v>594</v>
      </c>
      <c r="E511" s="4">
        <f t="shared" si="7"/>
        <v>0</v>
      </c>
    </row>
    <row r="512" spans="1:5" x14ac:dyDescent="0.25">
      <c r="A512">
        <v>91205</v>
      </c>
      <c r="B512" s="2" t="s">
        <v>508</v>
      </c>
      <c r="C512" s="2" t="s">
        <v>591</v>
      </c>
      <c r="D512" s="2" t="s">
        <v>595</v>
      </c>
      <c r="E512" s="4">
        <f t="shared" si="7"/>
        <v>0</v>
      </c>
    </row>
    <row r="513" spans="1:5" ht="24" x14ac:dyDescent="0.25">
      <c r="A513">
        <v>100101</v>
      </c>
      <c r="B513" s="2" t="s">
        <v>596</v>
      </c>
      <c r="C513" s="2" t="s">
        <v>596</v>
      </c>
      <c r="D513" s="2" t="s">
        <v>597</v>
      </c>
      <c r="E513" s="4">
        <f t="shared" si="7"/>
        <v>0</v>
      </c>
    </row>
    <row r="514" spans="1:5" ht="24" x14ac:dyDescent="0.25">
      <c r="A514">
        <v>100102</v>
      </c>
      <c r="B514" s="2" t="s">
        <v>596</v>
      </c>
      <c r="C514" s="2" t="s">
        <v>596</v>
      </c>
      <c r="D514" s="2" t="s">
        <v>598</v>
      </c>
      <c r="E514" s="4">
        <f t="shared" si="7"/>
        <v>0</v>
      </c>
    </row>
    <row r="515" spans="1:5" ht="24" x14ac:dyDescent="0.25">
      <c r="A515">
        <v>100103</v>
      </c>
      <c r="B515" s="2" t="s">
        <v>596</v>
      </c>
      <c r="C515" s="2" t="s">
        <v>596</v>
      </c>
      <c r="D515" s="2" t="s">
        <v>599</v>
      </c>
      <c r="E515" s="4">
        <f t="shared" si="7"/>
        <v>0</v>
      </c>
    </row>
    <row r="516" spans="1:5" ht="24" x14ac:dyDescent="0.25">
      <c r="A516">
        <v>100104</v>
      </c>
      <c r="B516" s="2" t="s">
        <v>596</v>
      </c>
      <c r="C516" s="2" t="s">
        <v>596</v>
      </c>
      <c r="D516" s="2" t="s">
        <v>600</v>
      </c>
      <c r="E516" s="4">
        <f t="shared" si="7"/>
        <v>0</v>
      </c>
    </row>
    <row r="517" spans="1:5" ht="24" x14ac:dyDescent="0.25">
      <c r="A517">
        <v>110101</v>
      </c>
      <c r="B517" s="2" t="s">
        <v>601</v>
      </c>
      <c r="C517" s="2" t="s">
        <v>602</v>
      </c>
      <c r="D517" s="2" t="s">
        <v>603</v>
      </c>
      <c r="E517" s="4">
        <f t="shared" ref="E517:E580" si="8">SUM(F517:AEZ517)</f>
        <v>0</v>
      </c>
    </row>
    <row r="518" spans="1:5" ht="24" x14ac:dyDescent="0.25">
      <c r="A518">
        <v>110102</v>
      </c>
      <c r="B518" s="2" t="s">
        <v>601</v>
      </c>
      <c r="C518" s="2" t="s">
        <v>602</v>
      </c>
      <c r="D518" s="2" t="s">
        <v>604</v>
      </c>
      <c r="E518" s="4">
        <f t="shared" si="8"/>
        <v>0</v>
      </c>
    </row>
    <row r="519" spans="1:5" ht="24" x14ac:dyDescent="0.25">
      <c r="A519">
        <v>110103</v>
      </c>
      <c r="B519" s="2" t="s">
        <v>601</v>
      </c>
      <c r="C519" s="2" t="s">
        <v>602</v>
      </c>
      <c r="D519" s="2" t="s">
        <v>605</v>
      </c>
      <c r="E519" s="4">
        <f t="shared" si="8"/>
        <v>0</v>
      </c>
    </row>
    <row r="520" spans="1:5" ht="24" x14ac:dyDescent="0.25">
      <c r="A520">
        <v>110201</v>
      </c>
      <c r="B520" s="2" t="s">
        <v>601</v>
      </c>
      <c r="C520" s="2" t="s">
        <v>307</v>
      </c>
      <c r="D520" s="2" t="s">
        <v>606</v>
      </c>
      <c r="E520" s="4">
        <f t="shared" si="8"/>
        <v>0</v>
      </c>
    </row>
    <row r="521" spans="1:5" ht="24" x14ac:dyDescent="0.25">
      <c r="A521">
        <v>110202</v>
      </c>
      <c r="B521" s="2" t="s">
        <v>601</v>
      </c>
      <c r="C521" s="2" t="s">
        <v>307</v>
      </c>
      <c r="D521" s="2" t="s">
        <v>607</v>
      </c>
      <c r="E521" s="4">
        <f t="shared" si="8"/>
        <v>0</v>
      </c>
    </row>
    <row r="522" spans="1:5" ht="24" x14ac:dyDescent="0.25">
      <c r="A522">
        <v>120101</v>
      </c>
      <c r="B522" s="2" t="s">
        <v>608</v>
      </c>
      <c r="C522" s="2" t="s">
        <v>609</v>
      </c>
      <c r="D522" s="2" t="s">
        <v>610</v>
      </c>
      <c r="E522" s="4">
        <f t="shared" si="8"/>
        <v>0</v>
      </c>
    </row>
    <row r="523" spans="1:5" ht="24" x14ac:dyDescent="0.25">
      <c r="A523">
        <v>120102</v>
      </c>
      <c r="B523" s="2" t="s">
        <v>608</v>
      </c>
      <c r="C523" s="2" t="s">
        <v>609</v>
      </c>
      <c r="D523" s="2" t="s">
        <v>611</v>
      </c>
      <c r="E523" s="4">
        <f t="shared" si="8"/>
        <v>0</v>
      </c>
    </row>
    <row r="524" spans="1:5" ht="24" x14ac:dyDescent="0.25">
      <c r="A524">
        <v>120103</v>
      </c>
      <c r="B524" s="2" t="s">
        <v>608</v>
      </c>
      <c r="C524" s="2" t="s">
        <v>609</v>
      </c>
      <c r="D524" s="2" t="s">
        <v>612</v>
      </c>
      <c r="E524" s="4">
        <f t="shared" si="8"/>
        <v>0</v>
      </c>
    </row>
    <row r="525" spans="1:5" ht="24" x14ac:dyDescent="0.25">
      <c r="A525">
        <v>120104</v>
      </c>
      <c r="B525" s="2" t="s">
        <v>608</v>
      </c>
      <c r="C525" s="2" t="s">
        <v>609</v>
      </c>
      <c r="D525" s="2" t="s">
        <v>613</v>
      </c>
      <c r="E525" s="4">
        <f t="shared" si="8"/>
        <v>0</v>
      </c>
    </row>
    <row r="526" spans="1:5" ht="24" x14ac:dyDescent="0.25">
      <c r="A526">
        <v>120105</v>
      </c>
      <c r="B526" s="2" t="s">
        <v>608</v>
      </c>
      <c r="C526" s="2" t="s">
        <v>609</v>
      </c>
      <c r="D526" s="2" t="s">
        <v>614</v>
      </c>
      <c r="E526" s="4">
        <f t="shared" si="8"/>
        <v>0</v>
      </c>
    </row>
    <row r="527" spans="1:5" ht="24" x14ac:dyDescent="0.25">
      <c r="A527">
        <v>120106</v>
      </c>
      <c r="B527" s="2" t="s">
        <v>608</v>
      </c>
      <c r="C527" s="2" t="s">
        <v>609</v>
      </c>
      <c r="D527" s="2" t="s">
        <v>615</v>
      </c>
      <c r="E527" s="4">
        <f t="shared" si="8"/>
        <v>0</v>
      </c>
    </row>
    <row r="528" spans="1:5" ht="24" x14ac:dyDescent="0.25">
      <c r="A528">
        <v>120107</v>
      </c>
      <c r="B528" s="2" t="s">
        <v>608</v>
      </c>
      <c r="C528" s="2" t="s">
        <v>609</v>
      </c>
      <c r="D528" s="2" t="s">
        <v>616</v>
      </c>
      <c r="E528" s="4">
        <f t="shared" si="8"/>
        <v>0</v>
      </c>
    </row>
    <row r="529" spans="1:5" ht="24" x14ac:dyDescent="0.25">
      <c r="A529">
        <v>120108</v>
      </c>
      <c r="B529" s="2" t="s">
        <v>608</v>
      </c>
      <c r="C529" s="2" t="s">
        <v>609</v>
      </c>
      <c r="D529" s="2" t="s">
        <v>617</v>
      </c>
      <c r="E529" s="4">
        <f t="shared" si="8"/>
        <v>0</v>
      </c>
    </row>
    <row r="530" spans="1:5" ht="24" x14ac:dyDescent="0.25">
      <c r="A530">
        <v>120201</v>
      </c>
      <c r="B530" s="2" t="s">
        <v>608</v>
      </c>
      <c r="C530" s="2" t="s">
        <v>618</v>
      </c>
      <c r="D530" s="2" t="s">
        <v>619</v>
      </c>
      <c r="E530" s="4">
        <f t="shared" si="8"/>
        <v>0</v>
      </c>
    </row>
    <row r="531" spans="1:5" ht="24" x14ac:dyDescent="0.25">
      <c r="A531">
        <v>120202</v>
      </c>
      <c r="B531" s="2" t="s">
        <v>608</v>
      </c>
      <c r="C531" s="2" t="s">
        <v>618</v>
      </c>
      <c r="D531" s="2" t="s">
        <v>620</v>
      </c>
      <c r="E531" s="4">
        <f t="shared" si="8"/>
        <v>0</v>
      </c>
    </row>
    <row r="532" spans="1:5" ht="24" x14ac:dyDescent="0.25">
      <c r="A532">
        <v>120203</v>
      </c>
      <c r="B532" s="2" t="s">
        <v>608</v>
      </c>
      <c r="C532" s="2" t="s">
        <v>618</v>
      </c>
      <c r="D532" s="2" t="s">
        <v>621</v>
      </c>
      <c r="E532" s="4">
        <f t="shared" si="8"/>
        <v>0</v>
      </c>
    </row>
    <row r="533" spans="1:5" ht="24" x14ac:dyDescent="0.25">
      <c r="A533">
        <v>120204</v>
      </c>
      <c r="B533" s="2" t="s">
        <v>608</v>
      </c>
      <c r="C533" s="2" t="s">
        <v>618</v>
      </c>
      <c r="D533" s="2" t="s">
        <v>622</v>
      </c>
      <c r="E533" s="4">
        <f t="shared" si="8"/>
        <v>0</v>
      </c>
    </row>
    <row r="534" spans="1:5" ht="24" x14ac:dyDescent="0.25">
      <c r="A534">
        <v>120205</v>
      </c>
      <c r="B534" s="2" t="s">
        <v>608</v>
      </c>
      <c r="C534" s="2" t="s">
        <v>618</v>
      </c>
      <c r="D534" s="2" t="s">
        <v>623</v>
      </c>
      <c r="E534" s="4">
        <f t="shared" si="8"/>
        <v>0</v>
      </c>
    </row>
    <row r="535" spans="1:5" ht="24" x14ac:dyDescent="0.25">
      <c r="A535">
        <v>120206</v>
      </c>
      <c r="B535" s="2" t="s">
        <v>608</v>
      </c>
      <c r="C535" s="2" t="s">
        <v>618</v>
      </c>
      <c r="D535" s="2" t="s">
        <v>624</v>
      </c>
      <c r="E535" s="4">
        <f t="shared" si="8"/>
        <v>0</v>
      </c>
    </row>
    <row r="536" spans="1:5" ht="24" x14ac:dyDescent="0.25">
      <c r="A536">
        <v>120207</v>
      </c>
      <c r="B536" s="2" t="s">
        <v>608</v>
      </c>
      <c r="C536" s="2" t="s">
        <v>618</v>
      </c>
      <c r="D536" s="2" t="s">
        <v>625</v>
      </c>
      <c r="E536" s="4">
        <f t="shared" si="8"/>
        <v>0</v>
      </c>
    </row>
    <row r="537" spans="1:5" ht="24" x14ac:dyDescent="0.25">
      <c r="A537">
        <v>120208</v>
      </c>
      <c r="B537" s="2" t="s">
        <v>608</v>
      </c>
      <c r="C537" s="2" t="s">
        <v>618</v>
      </c>
      <c r="D537" s="2" t="s">
        <v>626</v>
      </c>
      <c r="E537" s="4">
        <f t="shared" si="8"/>
        <v>0</v>
      </c>
    </row>
    <row r="538" spans="1:5" ht="24" x14ac:dyDescent="0.25">
      <c r="A538">
        <v>120301</v>
      </c>
      <c r="B538" s="2" t="s">
        <v>608</v>
      </c>
      <c r="C538" s="2" t="s">
        <v>627</v>
      </c>
      <c r="D538" s="2" t="s">
        <v>628</v>
      </c>
      <c r="E538" s="4">
        <f t="shared" si="8"/>
        <v>0</v>
      </c>
    </row>
    <row r="539" spans="1:5" ht="24" x14ac:dyDescent="0.25">
      <c r="A539">
        <v>120302</v>
      </c>
      <c r="B539" s="2" t="s">
        <v>608</v>
      </c>
      <c r="C539" s="2" t="s">
        <v>627</v>
      </c>
      <c r="D539" s="2" t="s">
        <v>629</v>
      </c>
      <c r="E539" s="4">
        <f t="shared" si="8"/>
        <v>0</v>
      </c>
    </row>
    <row r="540" spans="1:5" ht="24" x14ac:dyDescent="0.25">
      <c r="A540">
        <v>120303</v>
      </c>
      <c r="B540" s="2" t="s">
        <v>608</v>
      </c>
      <c r="C540" s="2" t="s">
        <v>627</v>
      </c>
      <c r="D540" s="2" t="s">
        <v>630</v>
      </c>
      <c r="E540" s="4">
        <f t="shared" si="8"/>
        <v>0</v>
      </c>
    </row>
    <row r="541" spans="1:5" ht="24" x14ac:dyDescent="0.25">
      <c r="A541">
        <v>120304</v>
      </c>
      <c r="B541" s="2" t="s">
        <v>608</v>
      </c>
      <c r="C541" s="2" t="s">
        <v>627</v>
      </c>
      <c r="D541" s="2" t="s">
        <v>631</v>
      </c>
      <c r="E541" s="4">
        <f t="shared" si="8"/>
        <v>0</v>
      </c>
    </row>
    <row r="542" spans="1:5" ht="24" x14ac:dyDescent="0.25">
      <c r="A542">
        <v>120305</v>
      </c>
      <c r="B542" s="2" t="s">
        <v>608</v>
      </c>
      <c r="C542" s="2" t="s">
        <v>627</v>
      </c>
      <c r="D542" s="2" t="s">
        <v>632</v>
      </c>
      <c r="E542" s="4">
        <f t="shared" si="8"/>
        <v>0</v>
      </c>
    </row>
    <row r="543" spans="1:5" ht="24" x14ac:dyDescent="0.25">
      <c r="A543">
        <v>120306</v>
      </c>
      <c r="B543" s="2" t="s">
        <v>608</v>
      </c>
      <c r="C543" s="2" t="s">
        <v>627</v>
      </c>
      <c r="D543" s="2" t="s">
        <v>633</v>
      </c>
      <c r="E543" s="4">
        <f t="shared" si="8"/>
        <v>0</v>
      </c>
    </row>
    <row r="544" spans="1:5" ht="24" x14ac:dyDescent="0.25">
      <c r="A544">
        <v>120307</v>
      </c>
      <c r="B544" s="2" t="s">
        <v>608</v>
      </c>
      <c r="C544" s="2" t="s">
        <v>627</v>
      </c>
      <c r="D544" s="2" t="s">
        <v>634</v>
      </c>
      <c r="E544" s="4">
        <f t="shared" si="8"/>
        <v>0</v>
      </c>
    </row>
    <row r="545" spans="1:5" ht="24" x14ac:dyDescent="0.25">
      <c r="A545">
        <v>120308</v>
      </c>
      <c r="B545" s="2" t="s">
        <v>608</v>
      </c>
      <c r="C545" s="2" t="s">
        <v>627</v>
      </c>
      <c r="D545" s="2" t="s">
        <v>635</v>
      </c>
      <c r="E545" s="4">
        <f t="shared" si="8"/>
        <v>0</v>
      </c>
    </row>
    <row r="546" spans="1:5" ht="24" x14ac:dyDescent="0.25">
      <c r="A546">
        <v>120309</v>
      </c>
      <c r="B546" s="2" t="s">
        <v>608</v>
      </c>
      <c r="C546" s="2" t="s">
        <v>627</v>
      </c>
      <c r="D546" s="2" t="s">
        <v>400</v>
      </c>
      <c r="E546" s="4">
        <f t="shared" si="8"/>
        <v>0</v>
      </c>
    </row>
    <row r="547" spans="1:5" ht="24" x14ac:dyDescent="0.25">
      <c r="A547">
        <v>120310</v>
      </c>
      <c r="B547" s="2" t="s">
        <v>608</v>
      </c>
      <c r="C547" s="2" t="s">
        <v>627</v>
      </c>
      <c r="D547" s="2" t="s">
        <v>636</v>
      </c>
      <c r="E547" s="4">
        <f t="shared" si="8"/>
        <v>0</v>
      </c>
    </row>
    <row r="548" spans="1:5" ht="24" x14ac:dyDescent="0.25">
      <c r="A548">
        <v>120311</v>
      </c>
      <c r="B548" s="2" t="s">
        <v>608</v>
      </c>
      <c r="C548" s="2" t="s">
        <v>627</v>
      </c>
      <c r="D548" s="2" t="s">
        <v>637</v>
      </c>
      <c r="E548" s="4">
        <f t="shared" si="8"/>
        <v>0</v>
      </c>
    </row>
    <row r="549" spans="1:5" ht="24" x14ac:dyDescent="0.25">
      <c r="A549">
        <v>120312</v>
      </c>
      <c r="B549" s="2" t="s">
        <v>608</v>
      </c>
      <c r="C549" s="2" t="s">
        <v>627</v>
      </c>
      <c r="D549" s="2" t="s">
        <v>638</v>
      </c>
      <c r="E549" s="4">
        <f t="shared" si="8"/>
        <v>0</v>
      </c>
    </row>
    <row r="550" spans="1:5" ht="24" x14ac:dyDescent="0.25">
      <c r="A550">
        <v>120401</v>
      </c>
      <c r="B550" s="2" t="s">
        <v>608</v>
      </c>
      <c r="C550" s="2" t="s">
        <v>639</v>
      </c>
      <c r="D550" s="2" t="s">
        <v>640</v>
      </c>
      <c r="E550" s="4">
        <f t="shared" si="8"/>
        <v>0</v>
      </c>
    </row>
    <row r="551" spans="1:5" ht="24" x14ac:dyDescent="0.25">
      <c r="A551">
        <v>120402</v>
      </c>
      <c r="B551" s="2" t="s">
        <v>608</v>
      </c>
      <c r="C551" s="2" t="s">
        <v>639</v>
      </c>
      <c r="D551" s="2" t="s">
        <v>641</v>
      </c>
      <c r="E551" s="4">
        <f t="shared" si="8"/>
        <v>0</v>
      </c>
    </row>
    <row r="552" spans="1:5" ht="24" x14ac:dyDescent="0.25">
      <c r="A552">
        <v>120403</v>
      </c>
      <c r="B552" s="2" t="s">
        <v>608</v>
      </c>
      <c r="C552" s="2" t="s">
        <v>639</v>
      </c>
      <c r="D552" s="2" t="s">
        <v>642</v>
      </c>
      <c r="E552" s="4">
        <f t="shared" si="8"/>
        <v>0</v>
      </c>
    </row>
    <row r="553" spans="1:5" ht="24" x14ac:dyDescent="0.25">
      <c r="A553">
        <v>120404</v>
      </c>
      <c r="B553" s="2" t="s">
        <v>608</v>
      </c>
      <c r="C553" s="2" t="s">
        <v>639</v>
      </c>
      <c r="D553" s="2" t="s">
        <v>643</v>
      </c>
      <c r="E553" s="4">
        <f t="shared" si="8"/>
        <v>0</v>
      </c>
    </row>
    <row r="554" spans="1:5" ht="24" x14ac:dyDescent="0.25">
      <c r="A554">
        <v>120405</v>
      </c>
      <c r="B554" s="2" t="s">
        <v>608</v>
      </c>
      <c r="C554" s="2" t="s">
        <v>639</v>
      </c>
      <c r="D554" s="2" t="s">
        <v>644</v>
      </c>
      <c r="E554" s="4">
        <f t="shared" si="8"/>
        <v>0</v>
      </c>
    </row>
    <row r="555" spans="1:5" ht="24" x14ac:dyDescent="0.25">
      <c r="A555">
        <v>120501</v>
      </c>
      <c r="B555" s="2" t="s">
        <v>608</v>
      </c>
      <c r="C555" s="2" t="s">
        <v>645</v>
      </c>
      <c r="D555" s="2" t="s">
        <v>646</v>
      </c>
      <c r="E555" s="4">
        <f t="shared" si="8"/>
        <v>0</v>
      </c>
    </row>
    <row r="556" spans="1:5" ht="24" x14ac:dyDescent="0.25">
      <c r="A556">
        <v>120502</v>
      </c>
      <c r="B556" s="2" t="s">
        <v>608</v>
      </c>
      <c r="C556" s="2" t="s">
        <v>645</v>
      </c>
      <c r="D556" s="2" t="s">
        <v>647</v>
      </c>
      <c r="E556" s="4">
        <f t="shared" si="8"/>
        <v>0</v>
      </c>
    </row>
    <row r="557" spans="1:5" ht="24" x14ac:dyDescent="0.25">
      <c r="A557">
        <v>120503</v>
      </c>
      <c r="B557" s="2" t="s">
        <v>608</v>
      </c>
      <c r="C557" s="2" t="s">
        <v>645</v>
      </c>
      <c r="D557" s="2" t="s">
        <v>648</v>
      </c>
      <c r="E557" s="4">
        <f t="shared" si="8"/>
        <v>0</v>
      </c>
    </row>
    <row r="558" spans="1:5" ht="24" x14ac:dyDescent="0.25">
      <c r="A558">
        <v>120504</v>
      </c>
      <c r="B558" s="2" t="s">
        <v>608</v>
      </c>
      <c r="C558" s="2" t="s">
        <v>645</v>
      </c>
      <c r="D558" s="2" t="s">
        <v>649</v>
      </c>
      <c r="E558" s="4">
        <f t="shared" si="8"/>
        <v>0</v>
      </c>
    </row>
    <row r="559" spans="1:5" ht="24" x14ac:dyDescent="0.25">
      <c r="A559">
        <v>120505</v>
      </c>
      <c r="B559" s="2" t="s">
        <v>608</v>
      </c>
      <c r="C559" s="2" t="s">
        <v>645</v>
      </c>
      <c r="D559" s="2" t="s">
        <v>650</v>
      </c>
      <c r="E559" s="4">
        <f t="shared" si="8"/>
        <v>0</v>
      </c>
    </row>
    <row r="560" spans="1:5" ht="24" x14ac:dyDescent="0.25">
      <c r="A560">
        <v>120506</v>
      </c>
      <c r="B560" s="2" t="s">
        <v>608</v>
      </c>
      <c r="C560" s="2" t="s">
        <v>645</v>
      </c>
      <c r="D560" s="2" t="s">
        <v>651</v>
      </c>
      <c r="E560" s="4">
        <f t="shared" si="8"/>
        <v>0</v>
      </c>
    </row>
    <row r="561" spans="1:5" ht="24" x14ac:dyDescent="0.25">
      <c r="A561">
        <v>120507</v>
      </c>
      <c r="B561" s="2" t="s">
        <v>608</v>
      </c>
      <c r="C561" s="2" t="s">
        <v>645</v>
      </c>
      <c r="D561" s="2" t="s">
        <v>652</v>
      </c>
      <c r="E561" s="4">
        <f t="shared" si="8"/>
        <v>0</v>
      </c>
    </row>
    <row r="562" spans="1:5" ht="24" x14ac:dyDescent="0.25">
      <c r="A562">
        <v>120508</v>
      </c>
      <c r="B562" s="2" t="s">
        <v>608</v>
      </c>
      <c r="C562" s="2" t="s">
        <v>645</v>
      </c>
      <c r="D562" s="2" t="s">
        <v>653</v>
      </c>
      <c r="E562" s="4">
        <f t="shared" si="8"/>
        <v>0</v>
      </c>
    </row>
    <row r="563" spans="1:5" ht="24" x14ac:dyDescent="0.25">
      <c r="A563">
        <v>120509</v>
      </c>
      <c r="B563" s="2" t="s">
        <v>608</v>
      </c>
      <c r="C563" s="2" t="s">
        <v>645</v>
      </c>
      <c r="D563" s="2" t="s">
        <v>654</v>
      </c>
      <c r="E563" s="4">
        <f t="shared" si="8"/>
        <v>0</v>
      </c>
    </row>
    <row r="564" spans="1:5" ht="24" x14ac:dyDescent="0.25">
      <c r="A564">
        <v>120601</v>
      </c>
      <c r="B564" s="2" t="s">
        <v>608</v>
      </c>
      <c r="C564" s="2" t="s">
        <v>655</v>
      </c>
      <c r="D564" s="2" t="s">
        <v>656</v>
      </c>
      <c r="E564" s="4">
        <f t="shared" si="8"/>
        <v>0</v>
      </c>
    </row>
    <row r="565" spans="1:5" ht="24" x14ac:dyDescent="0.25">
      <c r="A565">
        <v>120604</v>
      </c>
      <c r="B565" s="2" t="s">
        <v>608</v>
      </c>
      <c r="C565" s="2" t="s">
        <v>655</v>
      </c>
      <c r="D565" s="2" t="s">
        <v>657</v>
      </c>
      <c r="E565" s="4">
        <f t="shared" si="8"/>
        <v>0</v>
      </c>
    </row>
    <row r="566" spans="1:5" ht="24" x14ac:dyDescent="0.25">
      <c r="A566">
        <v>120605</v>
      </c>
      <c r="B566" s="2" t="s">
        <v>608</v>
      </c>
      <c r="C566" s="2" t="s">
        <v>655</v>
      </c>
      <c r="D566" s="2" t="s">
        <v>655</v>
      </c>
      <c r="E566" s="4">
        <f t="shared" si="8"/>
        <v>0</v>
      </c>
    </row>
    <row r="567" spans="1:5" ht="24" x14ac:dyDescent="0.25">
      <c r="A567">
        <v>120606</v>
      </c>
      <c r="B567" s="2" t="s">
        <v>608</v>
      </c>
      <c r="C567" s="2" t="s">
        <v>655</v>
      </c>
      <c r="D567" s="2" t="s">
        <v>658</v>
      </c>
      <c r="E567" s="4">
        <f t="shared" si="8"/>
        <v>0</v>
      </c>
    </row>
    <row r="568" spans="1:5" ht="24" x14ac:dyDescent="0.25">
      <c r="A568">
        <v>120607</v>
      </c>
      <c r="B568" s="2" t="s">
        <v>608</v>
      </c>
      <c r="C568" s="2" t="s">
        <v>655</v>
      </c>
      <c r="D568" s="2" t="s">
        <v>659</v>
      </c>
      <c r="E568" s="4">
        <f t="shared" si="8"/>
        <v>0</v>
      </c>
    </row>
    <row r="569" spans="1:5" ht="24" x14ac:dyDescent="0.25">
      <c r="A569">
        <v>120701</v>
      </c>
      <c r="B569" s="2" t="s">
        <v>608</v>
      </c>
      <c r="C569" s="2" t="s">
        <v>660</v>
      </c>
      <c r="D569" s="2" t="s">
        <v>660</v>
      </c>
      <c r="E569" s="4">
        <f t="shared" si="8"/>
        <v>0</v>
      </c>
    </row>
    <row r="570" spans="1:5" ht="24" x14ac:dyDescent="0.25">
      <c r="A570">
        <v>120702</v>
      </c>
      <c r="B570" s="2" t="s">
        <v>608</v>
      </c>
      <c r="C570" s="2" t="s">
        <v>660</v>
      </c>
      <c r="D570" s="2" t="s">
        <v>661</v>
      </c>
      <c r="E570" s="4">
        <f t="shared" si="8"/>
        <v>0</v>
      </c>
    </row>
    <row r="571" spans="1:5" ht="24" x14ac:dyDescent="0.25">
      <c r="A571">
        <v>120705</v>
      </c>
      <c r="B571" s="2" t="s">
        <v>608</v>
      </c>
      <c r="C571" s="2" t="s">
        <v>660</v>
      </c>
      <c r="D571" s="2" t="s">
        <v>662</v>
      </c>
      <c r="E571" s="4">
        <f t="shared" si="8"/>
        <v>0</v>
      </c>
    </row>
    <row r="572" spans="1:5" ht="24" x14ac:dyDescent="0.25">
      <c r="A572">
        <v>120706</v>
      </c>
      <c r="B572" s="2" t="s">
        <v>608</v>
      </c>
      <c r="C572" s="2" t="s">
        <v>660</v>
      </c>
      <c r="D572" s="2" t="s">
        <v>663</v>
      </c>
      <c r="E572" s="4">
        <f t="shared" si="8"/>
        <v>0</v>
      </c>
    </row>
    <row r="573" spans="1:5" x14ac:dyDescent="0.25">
      <c r="A573">
        <v>10213</v>
      </c>
      <c r="B573" s="2" t="s">
        <v>92</v>
      </c>
      <c r="C573" s="2" t="s">
        <v>100</v>
      </c>
      <c r="D573" s="2" t="s">
        <v>664</v>
      </c>
      <c r="E573" s="4">
        <f t="shared" si="8"/>
        <v>0</v>
      </c>
    </row>
    <row r="574" spans="1:5" x14ac:dyDescent="0.25">
      <c r="A574">
        <v>10214</v>
      </c>
      <c r="B574" s="2" t="s">
        <v>92</v>
      </c>
      <c r="C574" s="2" t="s">
        <v>100</v>
      </c>
      <c r="D574" s="2" t="s">
        <v>665</v>
      </c>
      <c r="E574" s="4">
        <f t="shared" si="8"/>
        <v>0</v>
      </c>
    </row>
    <row r="575" spans="1:5" x14ac:dyDescent="0.25">
      <c r="A575">
        <v>10215</v>
      </c>
      <c r="B575" s="2" t="s">
        <v>92</v>
      </c>
      <c r="C575" s="2" t="s">
        <v>100</v>
      </c>
      <c r="D575" s="2" t="s">
        <v>666</v>
      </c>
      <c r="E575" s="4">
        <f t="shared" si="8"/>
        <v>0</v>
      </c>
    </row>
    <row r="576" spans="1:5" x14ac:dyDescent="0.25">
      <c r="A576">
        <v>10216</v>
      </c>
      <c r="B576" s="2" t="s">
        <v>92</v>
      </c>
      <c r="C576" s="2" t="s">
        <v>100</v>
      </c>
      <c r="D576" s="2" t="s">
        <v>667</v>
      </c>
      <c r="E576" s="4">
        <f t="shared" si="8"/>
        <v>0</v>
      </c>
    </row>
    <row r="577" spans="1:5" x14ac:dyDescent="0.25">
      <c r="A577">
        <v>10217</v>
      </c>
      <c r="B577" s="2" t="s">
        <v>92</v>
      </c>
      <c r="C577" s="2" t="s">
        <v>100</v>
      </c>
      <c r="D577" s="2" t="s">
        <v>668</v>
      </c>
      <c r="E577" s="4">
        <f t="shared" si="8"/>
        <v>0</v>
      </c>
    </row>
    <row r="578" spans="1:5" x14ac:dyDescent="0.25">
      <c r="A578">
        <v>10401</v>
      </c>
      <c r="B578" s="2" t="s">
        <v>92</v>
      </c>
      <c r="C578" s="2" t="s">
        <v>98</v>
      </c>
      <c r="D578" s="2" t="s">
        <v>669</v>
      </c>
      <c r="E578" s="4">
        <f t="shared" si="8"/>
        <v>0</v>
      </c>
    </row>
    <row r="579" spans="1:5" x14ac:dyDescent="0.25">
      <c r="A579">
        <v>10402</v>
      </c>
      <c r="B579" s="2" t="s">
        <v>92</v>
      </c>
      <c r="C579" s="2" t="s">
        <v>98</v>
      </c>
      <c r="D579" s="2" t="s">
        <v>670</v>
      </c>
      <c r="E579" s="4">
        <f t="shared" si="8"/>
        <v>0</v>
      </c>
    </row>
    <row r="580" spans="1:5" x14ac:dyDescent="0.25">
      <c r="A580">
        <v>10404</v>
      </c>
      <c r="B580" s="2" t="s">
        <v>92</v>
      </c>
      <c r="C580" s="2" t="s">
        <v>98</v>
      </c>
      <c r="D580" s="2" t="s">
        <v>671</v>
      </c>
      <c r="E580" s="4">
        <f t="shared" si="8"/>
        <v>0</v>
      </c>
    </row>
    <row r="581" spans="1:5" x14ac:dyDescent="0.25">
      <c r="A581">
        <v>10405</v>
      </c>
      <c r="B581" s="2" t="s">
        <v>92</v>
      </c>
      <c r="C581" s="2" t="s">
        <v>98</v>
      </c>
      <c r="D581" s="2" t="s">
        <v>672</v>
      </c>
      <c r="E581" s="4">
        <f t="shared" ref="E581:E644" si="9">SUM(F581:AEZ581)</f>
        <v>0</v>
      </c>
    </row>
    <row r="582" spans="1:5" x14ac:dyDescent="0.25">
      <c r="A582">
        <v>10406</v>
      </c>
      <c r="B582" s="2" t="s">
        <v>92</v>
      </c>
      <c r="C582" s="2" t="s">
        <v>98</v>
      </c>
      <c r="D582" s="2" t="s">
        <v>673</v>
      </c>
      <c r="E582" s="4">
        <f t="shared" si="9"/>
        <v>0</v>
      </c>
    </row>
    <row r="583" spans="1:5" x14ac:dyDescent="0.25">
      <c r="A583">
        <v>10403</v>
      </c>
      <c r="B583" s="2" t="s">
        <v>92</v>
      </c>
      <c r="C583" s="2" t="s">
        <v>98</v>
      </c>
      <c r="D583" s="2" t="s">
        <v>99</v>
      </c>
      <c r="E583" s="4">
        <f t="shared" si="9"/>
        <v>0</v>
      </c>
    </row>
    <row r="584" spans="1:5" x14ac:dyDescent="0.25">
      <c r="A584">
        <v>10403</v>
      </c>
      <c r="B584" s="2" t="s">
        <v>92</v>
      </c>
      <c r="C584" s="2" t="s">
        <v>98</v>
      </c>
      <c r="D584" s="2" t="s">
        <v>674</v>
      </c>
      <c r="E584" s="4">
        <f t="shared" si="9"/>
        <v>0</v>
      </c>
    </row>
    <row r="585" spans="1:5" x14ac:dyDescent="0.25">
      <c r="A585">
        <v>20106</v>
      </c>
      <c r="B585" s="2" t="s">
        <v>116</v>
      </c>
      <c r="C585" s="2" t="s">
        <v>117</v>
      </c>
      <c r="D585" s="2" t="s">
        <v>675</v>
      </c>
      <c r="E585" s="4">
        <f t="shared" si="9"/>
        <v>0</v>
      </c>
    </row>
    <row r="586" spans="1:5" x14ac:dyDescent="0.25">
      <c r="A586">
        <v>20107</v>
      </c>
      <c r="B586" s="2" t="s">
        <v>116</v>
      </c>
      <c r="C586" s="2" t="s">
        <v>117</v>
      </c>
      <c r="D586" s="2" t="s">
        <v>676</v>
      </c>
      <c r="E586" s="4">
        <f t="shared" si="9"/>
        <v>0</v>
      </c>
    </row>
    <row r="587" spans="1:5" ht="24" x14ac:dyDescent="0.25">
      <c r="A587">
        <v>20108</v>
      </c>
      <c r="B587" s="2" t="s">
        <v>116</v>
      </c>
      <c r="C587" s="2" t="s">
        <v>117</v>
      </c>
      <c r="D587" s="2" t="s">
        <v>677</v>
      </c>
      <c r="E587" s="4">
        <f t="shared" si="9"/>
        <v>0</v>
      </c>
    </row>
    <row r="588" spans="1:5" x14ac:dyDescent="0.25">
      <c r="A588">
        <v>20307</v>
      </c>
      <c r="B588" s="2" t="s">
        <v>116</v>
      </c>
      <c r="C588" s="2" t="s">
        <v>134</v>
      </c>
      <c r="D588" s="2" t="s">
        <v>678</v>
      </c>
      <c r="E588" s="4">
        <f t="shared" si="9"/>
        <v>0</v>
      </c>
    </row>
    <row r="589" spans="1:5" x14ac:dyDescent="0.25">
      <c r="A589">
        <v>20407</v>
      </c>
      <c r="B589" s="2" t="s">
        <v>116</v>
      </c>
      <c r="C589" s="2" t="s">
        <v>141</v>
      </c>
      <c r="D589" s="2" t="s">
        <v>679</v>
      </c>
      <c r="E589" s="4">
        <f t="shared" si="9"/>
        <v>0</v>
      </c>
    </row>
    <row r="590" spans="1:5" x14ac:dyDescent="0.25">
      <c r="A590">
        <v>30115</v>
      </c>
      <c r="B590" s="2" t="s">
        <v>164</v>
      </c>
      <c r="C590" s="2" t="s">
        <v>164</v>
      </c>
      <c r="D590" s="2" t="s">
        <v>680</v>
      </c>
      <c r="E590" s="4">
        <f t="shared" si="9"/>
        <v>0</v>
      </c>
    </row>
    <row r="591" spans="1:5" ht="24" x14ac:dyDescent="0.25">
      <c r="A591">
        <v>30601</v>
      </c>
      <c r="B591" s="2" t="s">
        <v>164</v>
      </c>
      <c r="C591" s="2" t="s">
        <v>681</v>
      </c>
      <c r="D591" s="2" t="s">
        <v>682</v>
      </c>
      <c r="E591" s="4">
        <f t="shared" si="9"/>
        <v>0</v>
      </c>
    </row>
    <row r="592" spans="1:5" ht="24" x14ac:dyDescent="0.25">
      <c r="A592">
        <v>30602</v>
      </c>
      <c r="B592" s="2" t="s">
        <v>164</v>
      </c>
      <c r="C592" s="2" t="s">
        <v>681</v>
      </c>
      <c r="D592" s="2" t="s">
        <v>683</v>
      </c>
      <c r="E592" s="4">
        <f t="shared" si="9"/>
        <v>0</v>
      </c>
    </row>
    <row r="593" spans="1:5" ht="24" x14ac:dyDescent="0.25">
      <c r="A593">
        <v>30603</v>
      </c>
      <c r="B593" s="2" t="s">
        <v>164</v>
      </c>
      <c r="C593" s="2" t="s">
        <v>681</v>
      </c>
      <c r="D593" s="2" t="s">
        <v>684</v>
      </c>
      <c r="E593" s="4">
        <f t="shared" si="9"/>
        <v>0</v>
      </c>
    </row>
    <row r="594" spans="1:5" x14ac:dyDescent="0.25">
      <c r="A594">
        <v>40514</v>
      </c>
      <c r="B594" s="2" t="s">
        <v>205</v>
      </c>
      <c r="C594" s="2" t="s">
        <v>237</v>
      </c>
      <c r="D594" s="2" t="s">
        <v>685</v>
      </c>
      <c r="E594" s="4">
        <f t="shared" si="9"/>
        <v>0</v>
      </c>
    </row>
    <row r="595" spans="1:5" x14ac:dyDescent="0.25">
      <c r="A595">
        <v>40515</v>
      </c>
      <c r="B595" s="2" t="s">
        <v>205</v>
      </c>
      <c r="C595" s="2" t="s">
        <v>237</v>
      </c>
      <c r="D595" s="2" t="s">
        <v>686</v>
      </c>
      <c r="E595" s="4">
        <f t="shared" si="9"/>
        <v>0</v>
      </c>
    </row>
    <row r="596" spans="1:5" x14ac:dyDescent="0.25">
      <c r="A596">
        <v>40611</v>
      </c>
      <c r="B596" s="2" t="s">
        <v>205</v>
      </c>
      <c r="C596" s="2" t="s">
        <v>247</v>
      </c>
      <c r="D596" s="2" t="s">
        <v>687</v>
      </c>
      <c r="E596" s="4">
        <f t="shared" si="9"/>
        <v>0</v>
      </c>
    </row>
    <row r="597" spans="1:5" x14ac:dyDescent="0.25">
      <c r="A597">
        <v>40612</v>
      </c>
      <c r="B597" s="2" t="s">
        <v>205</v>
      </c>
      <c r="C597" s="2" t="s">
        <v>247</v>
      </c>
      <c r="D597" s="2" t="s">
        <v>688</v>
      </c>
      <c r="E597" s="4">
        <f t="shared" si="9"/>
        <v>0</v>
      </c>
    </row>
    <row r="598" spans="1:5" x14ac:dyDescent="0.25">
      <c r="A598">
        <v>41401</v>
      </c>
      <c r="B598" s="2" t="s">
        <v>205</v>
      </c>
      <c r="C598" s="2" t="s">
        <v>689</v>
      </c>
      <c r="D598" s="2" t="s">
        <v>690</v>
      </c>
      <c r="E598" s="4">
        <f t="shared" si="9"/>
        <v>0</v>
      </c>
    </row>
    <row r="599" spans="1:5" x14ac:dyDescent="0.25">
      <c r="A599">
        <v>41402</v>
      </c>
      <c r="B599" s="2" t="s">
        <v>205</v>
      </c>
      <c r="C599" s="2" t="s">
        <v>689</v>
      </c>
      <c r="D599" s="2" t="s">
        <v>691</v>
      </c>
      <c r="E599" s="4">
        <f t="shared" si="9"/>
        <v>0</v>
      </c>
    </row>
    <row r="600" spans="1:5" x14ac:dyDescent="0.25">
      <c r="A600">
        <v>41403</v>
      </c>
      <c r="B600" s="2" t="s">
        <v>205</v>
      </c>
      <c r="C600" s="2" t="s">
        <v>689</v>
      </c>
      <c r="D600" s="2" t="s">
        <v>692</v>
      </c>
      <c r="E600" s="4">
        <f t="shared" si="9"/>
        <v>0</v>
      </c>
    </row>
    <row r="601" spans="1:5" x14ac:dyDescent="0.25">
      <c r="A601">
        <v>41404</v>
      </c>
      <c r="B601" s="2" t="s">
        <v>205</v>
      </c>
      <c r="C601" s="2" t="s">
        <v>689</v>
      </c>
      <c r="D601" s="2" t="s">
        <v>693</v>
      </c>
      <c r="E601" s="4">
        <f t="shared" si="9"/>
        <v>0</v>
      </c>
    </row>
    <row r="602" spans="1:5" x14ac:dyDescent="0.25">
      <c r="A602">
        <v>41405</v>
      </c>
      <c r="B602" s="2" t="s">
        <v>205</v>
      </c>
      <c r="C602" s="2" t="s">
        <v>689</v>
      </c>
      <c r="D602" s="2" t="s">
        <v>694</v>
      </c>
      <c r="E602" s="4">
        <f t="shared" si="9"/>
        <v>0</v>
      </c>
    </row>
    <row r="603" spans="1:5" x14ac:dyDescent="0.25">
      <c r="A603">
        <v>50307</v>
      </c>
      <c r="B603" s="2" t="s">
        <v>301</v>
      </c>
      <c r="C603" s="2" t="s">
        <v>564</v>
      </c>
      <c r="D603" s="2" t="s">
        <v>695</v>
      </c>
      <c r="E603" s="4">
        <f t="shared" si="9"/>
        <v>0</v>
      </c>
    </row>
    <row r="604" spans="1:5" x14ac:dyDescent="0.25">
      <c r="A604">
        <v>50313</v>
      </c>
      <c r="B604" s="2" t="s">
        <v>301</v>
      </c>
      <c r="C604" s="2" t="s">
        <v>564</v>
      </c>
      <c r="D604" s="2" t="s">
        <v>696</v>
      </c>
      <c r="E604" s="4">
        <f t="shared" si="9"/>
        <v>0</v>
      </c>
    </row>
    <row r="605" spans="1:5" x14ac:dyDescent="0.25">
      <c r="A605">
        <v>50314</v>
      </c>
      <c r="B605" s="2" t="s">
        <v>301</v>
      </c>
      <c r="C605" s="2" t="s">
        <v>564</v>
      </c>
      <c r="D605" s="2" t="s">
        <v>697</v>
      </c>
      <c r="E605" s="4">
        <f t="shared" si="9"/>
        <v>0</v>
      </c>
    </row>
    <row r="606" spans="1:5" x14ac:dyDescent="0.25">
      <c r="A606">
        <v>50315</v>
      </c>
      <c r="B606" s="2" t="s">
        <v>301</v>
      </c>
      <c r="C606" s="2" t="s">
        <v>564</v>
      </c>
      <c r="D606" s="2" t="s">
        <v>698</v>
      </c>
      <c r="E606" s="4">
        <f t="shared" si="9"/>
        <v>0</v>
      </c>
    </row>
    <row r="607" spans="1:5" x14ac:dyDescent="0.25">
      <c r="A607">
        <v>50316</v>
      </c>
      <c r="B607" s="2" t="s">
        <v>301</v>
      </c>
      <c r="C607" s="2" t="s">
        <v>564</v>
      </c>
      <c r="D607" s="2" t="s">
        <v>565</v>
      </c>
      <c r="E607" s="4">
        <f t="shared" si="9"/>
        <v>0</v>
      </c>
    </row>
    <row r="608" spans="1:5" x14ac:dyDescent="0.25">
      <c r="A608">
        <v>50317</v>
      </c>
      <c r="B608" s="2" t="s">
        <v>301</v>
      </c>
      <c r="C608" s="2" t="s">
        <v>564</v>
      </c>
      <c r="D608" s="2" t="s">
        <v>99</v>
      </c>
      <c r="E608" s="4">
        <f t="shared" si="9"/>
        <v>0</v>
      </c>
    </row>
    <row r="609" spans="1:5" x14ac:dyDescent="0.25">
      <c r="A609">
        <v>50317</v>
      </c>
      <c r="B609" s="2" t="s">
        <v>301</v>
      </c>
      <c r="C609" s="2" t="s">
        <v>564</v>
      </c>
      <c r="D609" s="2" t="s">
        <v>699</v>
      </c>
      <c r="E609" s="4">
        <f t="shared" si="9"/>
        <v>0</v>
      </c>
    </row>
    <row r="610" spans="1:5" x14ac:dyDescent="0.25">
      <c r="A610">
        <v>50308</v>
      </c>
      <c r="B610" s="2" t="s">
        <v>301</v>
      </c>
      <c r="C610" s="2" t="s">
        <v>564</v>
      </c>
      <c r="D610" s="2" t="s">
        <v>700</v>
      </c>
      <c r="E610" s="4">
        <f t="shared" si="9"/>
        <v>0</v>
      </c>
    </row>
    <row r="611" spans="1:5" x14ac:dyDescent="0.25">
      <c r="A611">
        <v>50307</v>
      </c>
      <c r="B611" s="2" t="s">
        <v>301</v>
      </c>
      <c r="C611" s="2" t="s">
        <v>564</v>
      </c>
      <c r="D611" s="2" t="s">
        <v>695</v>
      </c>
      <c r="E611" s="4">
        <f t="shared" si="9"/>
        <v>0</v>
      </c>
    </row>
    <row r="612" spans="1:5" x14ac:dyDescent="0.25">
      <c r="A612">
        <v>50314</v>
      </c>
      <c r="B612" s="2" t="s">
        <v>301</v>
      </c>
      <c r="C612" s="2" t="s">
        <v>564</v>
      </c>
      <c r="D612" s="2" t="s">
        <v>697</v>
      </c>
      <c r="E612" s="4">
        <f t="shared" si="9"/>
        <v>0</v>
      </c>
    </row>
    <row r="613" spans="1:5" x14ac:dyDescent="0.25">
      <c r="A613">
        <v>50308</v>
      </c>
      <c r="B613" s="2" t="s">
        <v>301</v>
      </c>
      <c r="C613" s="2" t="s">
        <v>564</v>
      </c>
      <c r="D613" s="2" t="s">
        <v>700</v>
      </c>
      <c r="E613" s="4">
        <f t="shared" si="9"/>
        <v>0</v>
      </c>
    </row>
    <row r="614" spans="1:5" x14ac:dyDescent="0.25">
      <c r="A614">
        <v>50317</v>
      </c>
      <c r="B614" s="2" t="s">
        <v>301</v>
      </c>
      <c r="C614" s="2" t="s">
        <v>564</v>
      </c>
      <c r="D614" s="2" t="s">
        <v>699</v>
      </c>
      <c r="E614" s="4">
        <f t="shared" si="9"/>
        <v>0</v>
      </c>
    </row>
    <row r="615" spans="1:5" x14ac:dyDescent="0.25">
      <c r="A615">
        <v>50316</v>
      </c>
      <c r="B615" s="2" t="s">
        <v>301</v>
      </c>
      <c r="C615" s="2" t="s">
        <v>564</v>
      </c>
      <c r="D615" s="2" t="s">
        <v>565</v>
      </c>
      <c r="E615" s="4">
        <f t="shared" si="9"/>
        <v>0</v>
      </c>
    </row>
    <row r="616" spans="1:5" x14ac:dyDescent="0.25">
      <c r="A616">
        <v>60408</v>
      </c>
      <c r="B616" s="2" t="s">
        <v>321</v>
      </c>
      <c r="C616" s="2" t="s">
        <v>345</v>
      </c>
      <c r="D616" s="2" t="s">
        <v>701</v>
      </c>
      <c r="E616" s="4">
        <f t="shared" si="9"/>
        <v>0</v>
      </c>
    </row>
    <row r="617" spans="1:5" x14ac:dyDescent="0.25">
      <c r="A617">
        <v>70315</v>
      </c>
      <c r="B617" s="2" t="s">
        <v>374</v>
      </c>
      <c r="C617" s="2" t="s">
        <v>374</v>
      </c>
      <c r="D617" s="2" t="s">
        <v>702</v>
      </c>
      <c r="E617" s="4">
        <f t="shared" si="9"/>
        <v>0</v>
      </c>
    </row>
    <row r="618" spans="1:5" x14ac:dyDescent="0.25">
      <c r="A618">
        <v>80826</v>
      </c>
      <c r="B618" s="2" t="s">
        <v>451</v>
      </c>
      <c r="C618" s="2" t="s">
        <v>451</v>
      </c>
      <c r="D618" s="2" t="s">
        <v>703</v>
      </c>
      <c r="E618" s="4">
        <f t="shared" si="9"/>
        <v>0</v>
      </c>
    </row>
    <row r="619" spans="1:5" x14ac:dyDescent="0.25">
      <c r="A619">
        <v>90407</v>
      </c>
      <c r="B619" s="2" t="s">
        <v>508</v>
      </c>
      <c r="C619" s="2" t="s">
        <v>425</v>
      </c>
      <c r="D619" s="2" t="s">
        <v>704</v>
      </c>
      <c r="E619" s="4">
        <f t="shared" si="9"/>
        <v>0</v>
      </c>
    </row>
    <row r="620" spans="1:5" x14ac:dyDescent="0.25">
      <c r="A620">
        <v>90513</v>
      </c>
      <c r="B620" s="2" t="s">
        <v>508</v>
      </c>
      <c r="C620" s="2" t="s">
        <v>426</v>
      </c>
      <c r="D620" s="2" t="s">
        <v>705</v>
      </c>
      <c r="E620" s="4">
        <f t="shared" si="9"/>
        <v>0</v>
      </c>
    </row>
    <row r="621" spans="1:5" x14ac:dyDescent="0.25">
      <c r="A621">
        <v>91013</v>
      </c>
      <c r="B621" s="2" t="s">
        <v>508</v>
      </c>
      <c r="C621" s="2" t="s">
        <v>573</v>
      </c>
      <c r="D621" s="2" t="s">
        <v>706</v>
      </c>
      <c r="E621" s="4">
        <f t="shared" si="9"/>
        <v>0</v>
      </c>
    </row>
    <row r="622" spans="1:5" x14ac:dyDescent="0.25">
      <c r="A622">
        <v>91014</v>
      </c>
      <c r="B622" s="2" t="s">
        <v>508</v>
      </c>
      <c r="C622" s="2" t="s">
        <v>573</v>
      </c>
      <c r="D622" s="2" t="s">
        <v>707</v>
      </c>
      <c r="E622" s="4">
        <f t="shared" si="9"/>
        <v>0</v>
      </c>
    </row>
    <row r="623" spans="1:5" x14ac:dyDescent="0.25">
      <c r="A623">
        <v>91015</v>
      </c>
      <c r="B623" s="2" t="s">
        <v>508</v>
      </c>
      <c r="C623" s="2" t="s">
        <v>573</v>
      </c>
      <c r="D623" s="2" t="s">
        <v>708</v>
      </c>
      <c r="E623" s="4">
        <f t="shared" si="9"/>
        <v>0</v>
      </c>
    </row>
    <row r="624" spans="1:5" x14ac:dyDescent="0.25">
      <c r="A624">
        <v>91016</v>
      </c>
      <c r="B624" s="2" t="s">
        <v>508</v>
      </c>
      <c r="C624" s="2" t="s">
        <v>573</v>
      </c>
      <c r="D624" s="2" t="s">
        <v>709</v>
      </c>
      <c r="E624" s="4">
        <f t="shared" si="9"/>
        <v>0</v>
      </c>
    </row>
    <row r="625" spans="1:5" x14ac:dyDescent="0.25">
      <c r="A625">
        <v>91111</v>
      </c>
      <c r="B625" s="2" t="s">
        <v>508</v>
      </c>
      <c r="C625" s="2" t="s">
        <v>583</v>
      </c>
      <c r="D625" s="2" t="s">
        <v>710</v>
      </c>
      <c r="E625" s="4">
        <f t="shared" si="9"/>
        <v>0</v>
      </c>
    </row>
    <row r="626" spans="1:5" x14ac:dyDescent="0.25">
      <c r="A626">
        <v>91112</v>
      </c>
      <c r="B626" s="2" t="s">
        <v>508</v>
      </c>
      <c r="C626" s="2" t="s">
        <v>583</v>
      </c>
      <c r="D626" s="2" t="s">
        <v>711</v>
      </c>
      <c r="E626" s="4">
        <f t="shared" si="9"/>
        <v>0</v>
      </c>
    </row>
    <row r="627" spans="1:5" ht="24" x14ac:dyDescent="0.25">
      <c r="A627">
        <v>120313</v>
      </c>
      <c r="B627" s="2" t="s">
        <v>608</v>
      </c>
      <c r="C627" s="2" t="s">
        <v>627</v>
      </c>
      <c r="D627" s="2" t="s">
        <v>712</v>
      </c>
      <c r="E627" s="4">
        <f t="shared" si="9"/>
        <v>0</v>
      </c>
    </row>
    <row r="628" spans="1:5" ht="24" x14ac:dyDescent="0.25">
      <c r="A628">
        <v>120315</v>
      </c>
      <c r="B628" s="2" t="s">
        <v>608</v>
      </c>
      <c r="C628" s="2" t="s">
        <v>627</v>
      </c>
      <c r="D628" s="2" t="s">
        <v>713</v>
      </c>
      <c r="E628" s="4">
        <f t="shared" si="9"/>
        <v>0</v>
      </c>
    </row>
    <row r="629" spans="1:5" ht="24" x14ac:dyDescent="0.25">
      <c r="A629">
        <v>120315</v>
      </c>
      <c r="B629" s="2" t="s">
        <v>608</v>
      </c>
      <c r="C629" s="2" t="s">
        <v>627</v>
      </c>
      <c r="D629" s="2" t="s">
        <v>714</v>
      </c>
      <c r="E629" s="4">
        <f t="shared" si="9"/>
        <v>0</v>
      </c>
    </row>
    <row r="630" spans="1:5" ht="24" x14ac:dyDescent="0.25">
      <c r="A630">
        <v>120316</v>
      </c>
      <c r="B630" s="2" t="s">
        <v>608</v>
      </c>
      <c r="C630" s="2" t="s">
        <v>627</v>
      </c>
      <c r="D630" s="2" t="s">
        <v>715</v>
      </c>
      <c r="E630" s="4">
        <f t="shared" si="9"/>
        <v>0</v>
      </c>
    </row>
    <row r="631" spans="1:5" ht="24" x14ac:dyDescent="0.25">
      <c r="A631">
        <v>120510</v>
      </c>
      <c r="B631" s="2" t="s">
        <v>608</v>
      </c>
      <c r="C631" s="2" t="s">
        <v>645</v>
      </c>
      <c r="D631" s="2" t="s">
        <v>716</v>
      </c>
      <c r="E631" s="4">
        <f t="shared" si="9"/>
        <v>0</v>
      </c>
    </row>
    <row r="632" spans="1:5" ht="24" x14ac:dyDescent="0.25">
      <c r="A632">
        <v>120511</v>
      </c>
      <c r="B632" s="2" t="s">
        <v>608</v>
      </c>
      <c r="C632" s="2" t="s">
        <v>645</v>
      </c>
      <c r="D632" s="2" t="s">
        <v>717</v>
      </c>
      <c r="E632" s="4">
        <f t="shared" si="9"/>
        <v>0</v>
      </c>
    </row>
    <row r="633" spans="1:5" ht="24" x14ac:dyDescent="0.25">
      <c r="A633">
        <v>120610</v>
      </c>
      <c r="B633" s="2" t="s">
        <v>608</v>
      </c>
      <c r="C633" s="2" t="s">
        <v>655</v>
      </c>
      <c r="D633" s="2" t="s">
        <v>718</v>
      </c>
      <c r="E633" s="4">
        <f t="shared" si="9"/>
        <v>0</v>
      </c>
    </row>
    <row r="634" spans="1:5" ht="24" x14ac:dyDescent="0.25">
      <c r="A634">
        <v>120611</v>
      </c>
      <c r="B634" s="2" t="s">
        <v>608</v>
      </c>
      <c r="C634" s="2" t="s">
        <v>655</v>
      </c>
      <c r="D634" s="2" t="s">
        <v>719</v>
      </c>
      <c r="E634" s="4">
        <f t="shared" si="9"/>
        <v>0</v>
      </c>
    </row>
    <row r="635" spans="1:5" ht="24" x14ac:dyDescent="0.25">
      <c r="A635">
        <v>120708</v>
      </c>
      <c r="B635" s="2" t="s">
        <v>608</v>
      </c>
      <c r="C635" s="2" t="s">
        <v>660</v>
      </c>
      <c r="D635" s="2" t="s">
        <v>156</v>
      </c>
      <c r="E635" s="4">
        <f t="shared" si="9"/>
        <v>0</v>
      </c>
    </row>
    <row r="636" spans="1:5" ht="24" x14ac:dyDescent="0.25">
      <c r="A636">
        <v>120801</v>
      </c>
      <c r="B636" s="2" t="s">
        <v>608</v>
      </c>
      <c r="C636" s="2" t="s">
        <v>720</v>
      </c>
      <c r="D636" s="2" t="s">
        <v>721</v>
      </c>
      <c r="E636" s="4">
        <f t="shared" si="9"/>
        <v>0</v>
      </c>
    </row>
    <row r="637" spans="1:5" ht="24" x14ac:dyDescent="0.25">
      <c r="A637">
        <v>120802</v>
      </c>
      <c r="B637" s="2" t="s">
        <v>608</v>
      </c>
      <c r="C637" s="2" t="s">
        <v>720</v>
      </c>
      <c r="D637" s="2" t="s">
        <v>722</v>
      </c>
      <c r="E637" s="4">
        <f t="shared" si="9"/>
        <v>0</v>
      </c>
    </row>
    <row r="638" spans="1:5" ht="24" x14ac:dyDescent="0.25">
      <c r="A638">
        <v>120803</v>
      </c>
      <c r="B638" s="2" t="s">
        <v>608</v>
      </c>
      <c r="C638" s="2" t="s">
        <v>720</v>
      </c>
      <c r="D638" s="2" t="s">
        <v>723</v>
      </c>
      <c r="E638" s="4">
        <f t="shared" si="9"/>
        <v>0</v>
      </c>
    </row>
    <row r="639" spans="1:5" ht="24" x14ac:dyDescent="0.25">
      <c r="A639">
        <v>120804</v>
      </c>
      <c r="B639" s="2" t="s">
        <v>608</v>
      </c>
      <c r="C639" s="2" t="s">
        <v>720</v>
      </c>
      <c r="D639" s="2" t="s">
        <v>724</v>
      </c>
      <c r="E639" s="4">
        <f t="shared" si="9"/>
        <v>0</v>
      </c>
    </row>
    <row r="640" spans="1:5" ht="24" x14ac:dyDescent="0.25">
      <c r="A640">
        <v>120805</v>
      </c>
      <c r="B640" s="2" t="s">
        <v>608</v>
      </c>
      <c r="C640" s="2" t="s">
        <v>720</v>
      </c>
      <c r="D640" s="2" t="s">
        <v>725</v>
      </c>
      <c r="E640" s="4">
        <f t="shared" si="9"/>
        <v>0</v>
      </c>
    </row>
    <row r="641" spans="1:5" ht="36" x14ac:dyDescent="0.25">
      <c r="A641">
        <v>120901</v>
      </c>
      <c r="B641" s="2" t="s">
        <v>608</v>
      </c>
      <c r="C641" s="2" t="s">
        <v>726</v>
      </c>
      <c r="D641" s="2" t="s">
        <v>727</v>
      </c>
      <c r="E641" s="4">
        <f t="shared" si="9"/>
        <v>0</v>
      </c>
    </row>
    <row r="642" spans="1:5" ht="24" x14ac:dyDescent="0.25">
      <c r="A642">
        <v>120902</v>
      </c>
      <c r="B642" s="2" t="s">
        <v>608</v>
      </c>
      <c r="C642" s="2" t="s">
        <v>726</v>
      </c>
      <c r="D642" s="2" t="s">
        <v>728</v>
      </c>
      <c r="E642" s="4">
        <f t="shared" si="9"/>
        <v>0</v>
      </c>
    </row>
    <row r="643" spans="1:5" ht="24" x14ac:dyDescent="0.25">
      <c r="A643">
        <v>120903</v>
      </c>
      <c r="B643" s="2" t="s">
        <v>608</v>
      </c>
      <c r="C643" s="2" t="s">
        <v>726</v>
      </c>
      <c r="D643" s="2" t="s">
        <v>729</v>
      </c>
      <c r="E643" s="4">
        <f t="shared" si="9"/>
        <v>0</v>
      </c>
    </row>
    <row r="644" spans="1:5" ht="24" x14ac:dyDescent="0.25">
      <c r="A644">
        <v>120904</v>
      </c>
      <c r="B644" s="2" t="s">
        <v>608</v>
      </c>
      <c r="C644" s="2" t="s">
        <v>726</v>
      </c>
      <c r="D644" s="2" t="s">
        <v>730</v>
      </c>
      <c r="E644" s="4">
        <f t="shared" si="9"/>
        <v>0</v>
      </c>
    </row>
    <row r="645" spans="1:5" ht="24" x14ac:dyDescent="0.25">
      <c r="A645">
        <v>120905</v>
      </c>
      <c r="B645" s="2" t="s">
        <v>608</v>
      </c>
      <c r="C645" s="2" t="s">
        <v>726</v>
      </c>
      <c r="D645" s="2" t="s">
        <v>731</v>
      </c>
      <c r="E645" s="4">
        <f t="shared" ref="E645:E708" si="10">SUM(F645:AEZ645)</f>
        <v>0</v>
      </c>
    </row>
    <row r="646" spans="1:5" x14ac:dyDescent="0.25">
      <c r="A646">
        <v>130101</v>
      </c>
      <c r="B646" s="2" t="s">
        <v>732</v>
      </c>
      <c r="C646" s="2" t="s">
        <v>733</v>
      </c>
      <c r="D646" s="2" t="s">
        <v>734</v>
      </c>
      <c r="E646" s="4">
        <f t="shared" si="10"/>
        <v>0</v>
      </c>
    </row>
    <row r="647" spans="1:5" x14ac:dyDescent="0.25">
      <c r="A647">
        <v>130101</v>
      </c>
      <c r="B647" s="2" t="s">
        <v>732</v>
      </c>
      <c r="C647" s="2" t="s">
        <v>733</v>
      </c>
      <c r="D647" s="2" t="s">
        <v>734</v>
      </c>
      <c r="E647" s="4">
        <f t="shared" si="10"/>
        <v>0</v>
      </c>
    </row>
    <row r="648" spans="1:5" ht="24" x14ac:dyDescent="0.25">
      <c r="A648">
        <v>130102</v>
      </c>
      <c r="B648" s="2" t="s">
        <v>732</v>
      </c>
      <c r="C648" s="2" t="s">
        <v>733</v>
      </c>
      <c r="D648" s="2" t="s">
        <v>735</v>
      </c>
      <c r="E648" s="4">
        <f t="shared" si="10"/>
        <v>0</v>
      </c>
    </row>
    <row r="649" spans="1:5" x14ac:dyDescent="0.25">
      <c r="A649">
        <v>130103</v>
      </c>
      <c r="B649" s="2" t="s">
        <v>732</v>
      </c>
      <c r="C649" s="2" t="s">
        <v>733</v>
      </c>
      <c r="D649" s="2" t="s">
        <v>736</v>
      </c>
      <c r="E649" s="4">
        <f t="shared" si="10"/>
        <v>0</v>
      </c>
    </row>
    <row r="650" spans="1:5" x14ac:dyDescent="0.25">
      <c r="A650">
        <v>130103</v>
      </c>
      <c r="B650" s="2" t="s">
        <v>732</v>
      </c>
      <c r="C650" s="2" t="s">
        <v>733</v>
      </c>
      <c r="D650" s="2" t="s">
        <v>736</v>
      </c>
      <c r="E650" s="4">
        <f t="shared" si="10"/>
        <v>0</v>
      </c>
    </row>
    <row r="651" spans="1:5" x14ac:dyDescent="0.25">
      <c r="A651">
        <v>130104</v>
      </c>
      <c r="B651" s="2" t="s">
        <v>732</v>
      </c>
      <c r="C651" s="2" t="s">
        <v>733</v>
      </c>
      <c r="D651" s="2" t="s">
        <v>283</v>
      </c>
      <c r="E651" s="4">
        <f t="shared" si="10"/>
        <v>0</v>
      </c>
    </row>
    <row r="652" spans="1:5" x14ac:dyDescent="0.25">
      <c r="A652">
        <v>130104</v>
      </c>
      <c r="B652" s="2" t="s">
        <v>732</v>
      </c>
      <c r="C652" s="2" t="s">
        <v>733</v>
      </c>
      <c r="D652" s="2" t="s">
        <v>283</v>
      </c>
      <c r="E652" s="4">
        <f t="shared" si="10"/>
        <v>0</v>
      </c>
    </row>
    <row r="653" spans="1:5" x14ac:dyDescent="0.25">
      <c r="A653">
        <v>130105</v>
      </c>
      <c r="B653" s="2" t="s">
        <v>732</v>
      </c>
      <c r="C653" s="2" t="s">
        <v>733</v>
      </c>
      <c r="D653" s="2" t="s">
        <v>737</v>
      </c>
      <c r="E653" s="4">
        <f t="shared" si="10"/>
        <v>0</v>
      </c>
    </row>
    <row r="654" spans="1:5" x14ac:dyDescent="0.25">
      <c r="A654">
        <v>130106</v>
      </c>
      <c r="B654" s="2" t="s">
        <v>732</v>
      </c>
      <c r="C654" s="2" t="s">
        <v>733</v>
      </c>
      <c r="D654" s="2" t="s">
        <v>738</v>
      </c>
      <c r="E654" s="4">
        <f t="shared" si="10"/>
        <v>0</v>
      </c>
    </row>
    <row r="655" spans="1:5" x14ac:dyDescent="0.25">
      <c r="A655">
        <v>130107</v>
      </c>
      <c r="B655" s="2" t="s">
        <v>732</v>
      </c>
      <c r="C655" s="2" t="s">
        <v>733</v>
      </c>
      <c r="D655" s="2" t="s">
        <v>739</v>
      </c>
      <c r="E655" s="4">
        <f t="shared" si="10"/>
        <v>0</v>
      </c>
    </row>
    <row r="656" spans="1:5" x14ac:dyDescent="0.25">
      <c r="A656">
        <v>130107</v>
      </c>
      <c r="B656" s="2" t="s">
        <v>732</v>
      </c>
      <c r="C656" s="2" t="s">
        <v>733</v>
      </c>
      <c r="D656" s="2" t="s">
        <v>739</v>
      </c>
      <c r="E656" s="4">
        <f t="shared" si="10"/>
        <v>0</v>
      </c>
    </row>
    <row r="657" spans="1:5" x14ac:dyDescent="0.25">
      <c r="A657">
        <v>130108</v>
      </c>
      <c r="B657" s="2" t="s">
        <v>732</v>
      </c>
      <c r="C657" s="2" t="s">
        <v>733</v>
      </c>
      <c r="D657" s="2" t="s">
        <v>740</v>
      </c>
      <c r="E657" s="4">
        <f t="shared" si="10"/>
        <v>0</v>
      </c>
    </row>
    <row r="658" spans="1:5" x14ac:dyDescent="0.25">
      <c r="A658">
        <v>130301</v>
      </c>
      <c r="B658" s="2" t="s">
        <v>732</v>
      </c>
      <c r="C658" s="2" t="s">
        <v>741</v>
      </c>
      <c r="D658" s="2" t="s">
        <v>742</v>
      </c>
      <c r="E658" s="4">
        <f t="shared" si="10"/>
        <v>0</v>
      </c>
    </row>
    <row r="659" spans="1:5" x14ac:dyDescent="0.25">
      <c r="A659">
        <v>130302</v>
      </c>
      <c r="B659" s="2" t="s">
        <v>732</v>
      </c>
      <c r="C659" s="2" t="s">
        <v>741</v>
      </c>
      <c r="D659" s="2" t="s">
        <v>743</v>
      </c>
      <c r="E659" s="4">
        <f t="shared" si="10"/>
        <v>0</v>
      </c>
    </row>
    <row r="660" spans="1:5" x14ac:dyDescent="0.25">
      <c r="A660">
        <v>130303</v>
      </c>
      <c r="B660" s="2" t="s">
        <v>732</v>
      </c>
      <c r="C660" s="2" t="s">
        <v>741</v>
      </c>
      <c r="D660" s="2" t="s">
        <v>744</v>
      </c>
      <c r="E660" s="4">
        <f t="shared" si="10"/>
        <v>0</v>
      </c>
    </row>
    <row r="661" spans="1:5" x14ac:dyDescent="0.25">
      <c r="A661">
        <v>130310</v>
      </c>
      <c r="B661" s="2" t="s">
        <v>732</v>
      </c>
      <c r="C661" s="2" t="s">
        <v>741</v>
      </c>
      <c r="D661" s="2" t="s">
        <v>745</v>
      </c>
      <c r="E661" s="4">
        <f t="shared" si="10"/>
        <v>0</v>
      </c>
    </row>
    <row r="662" spans="1:5" x14ac:dyDescent="0.25">
      <c r="A662">
        <v>130305</v>
      </c>
      <c r="B662" s="2" t="s">
        <v>732</v>
      </c>
      <c r="C662" s="2" t="s">
        <v>741</v>
      </c>
      <c r="D662" s="2" t="s">
        <v>746</v>
      </c>
      <c r="E662" s="4">
        <f t="shared" si="10"/>
        <v>0</v>
      </c>
    </row>
    <row r="663" spans="1:5" x14ac:dyDescent="0.25">
      <c r="A663">
        <v>130306</v>
      </c>
      <c r="B663" s="2" t="s">
        <v>732</v>
      </c>
      <c r="C663" s="2" t="s">
        <v>741</v>
      </c>
      <c r="D663" s="2" t="s">
        <v>747</v>
      </c>
      <c r="E663" s="4">
        <f t="shared" si="10"/>
        <v>0</v>
      </c>
    </row>
    <row r="664" spans="1:5" x14ac:dyDescent="0.25">
      <c r="A664">
        <v>130307</v>
      </c>
      <c r="B664" s="2" t="s">
        <v>732</v>
      </c>
      <c r="C664" s="2" t="s">
        <v>741</v>
      </c>
      <c r="D664" s="2" t="s">
        <v>444</v>
      </c>
      <c r="E664" s="4">
        <f t="shared" si="10"/>
        <v>0</v>
      </c>
    </row>
    <row r="665" spans="1:5" x14ac:dyDescent="0.25">
      <c r="A665">
        <v>130308</v>
      </c>
      <c r="B665" s="2" t="s">
        <v>732</v>
      </c>
      <c r="C665" s="2" t="s">
        <v>741</v>
      </c>
      <c r="D665" s="2" t="s">
        <v>748</v>
      </c>
      <c r="E665" s="4">
        <f t="shared" si="10"/>
        <v>0</v>
      </c>
    </row>
    <row r="666" spans="1:5" x14ac:dyDescent="0.25">
      <c r="A666">
        <v>130309</v>
      </c>
      <c r="B666" s="2" t="s">
        <v>732</v>
      </c>
      <c r="C666" s="2" t="s">
        <v>741</v>
      </c>
      <c r="D666" s="2" t="s">
        <v>749</v>
      </c>
      <c r="E666" s="4">
        <f t="shared" si="10"/>
        <v>0</v>
      </c>
    </row>
    <row r="667" spans="1:5" x14ac:dyDescent="0.25">
      <c r="A667">
        <v>130311</v>
      </c>
      <c r="B667" s="2" t="s">
        <v>732</v>
      </c>
      <c r="C667" s="2" t="s">
        <v>741</v>
      </c>
      <c r="D667" s="2" t="s">
        <v>750</v>
      </c>
      <c r="E667" s="4">
        <f t="shared" si="10"/>
        <v>0</v>
      </c>
    </row>
    <row r="668" spans="1:5" x14ac:dyDescent="0.25">
      <c r="A668">
        <v>130312</v>
      </c>
      <c r="B668" s="2" t="s">
        <v>732</v>
      </c>
      <c r="C668" s="2" t="s">
        <v>741</v>
      </c>
      <c r="D668" s="2" t="s">
        <v>751</v>
      </c>
      <c r="E668" s="4">
        <f t="shared" si="10"/>
        <v>0</v>
      </c>
    </row>
    <row r="669" spans="1:5" x14ac:dyDescent="0.25">
      <c r="A669">
        <v>130313</v>
      </c>
      <c r="B669" s="2" t="s">
        <v>732</v>
      </c>
      <c r="C669" s="2" t="s">
        <v>741</v>
      </c>
      <c r="D669" s="2" t="s">
        <v>177</v>
      </c>
      <c r="E669" s="4">
        <f t="shared" si="10"/>
        <v>0</v>
      </c>
    </row>
    <row r="670" spans="1:5" x14ac:dyDescent="0.25">
      <c r="A670">
        <v>130304</v>
      </c>
      <c r="B670" s="2" t="s">
        <v>732</v>
      </c>
      <c r="C670" s="2" t="s">
        <v>741</v>
      </c>
      <c r="D670" s="2" t="s">
        <v>752</v>
      </c>
      <c r="E670" s="4">
        <f t="shared" si="10"/>
        <v>0</v>
      </c>
    </row>
    <row r="671" spans="1:5" x14ac:dyDescent="0.25">
      <c r="A671">
        <v>130401</v>
      </c>
      <c r="B671" s="2" t="s">
        <v>732</v>
      </c>
      <c r="C671" s="2" t="s">
        <v>753</v>
      </c>
      <c r="D671" s="2" t="s">
        <v>754</v>
      </c>
      <c r="E671" s="4">
        <f t="shared" si="10"/>
        <v>0</v>
      </c>
    </row>
    <row r="672" spans="1:5" x14ac:dyDescent="0.25">
      <c r="A672">
        <v>130402</v>
      </c>
      <c r="B672" s="2" t="s">
        <v>732</v>
      </c>
      <c r="C672" s="2" t="s">
        <v>753</v>
      </c>
      <c r="D672" s="2" t="s">
        <v>755</v>
      </c>
      <c r="E672" s="4">
        <f t="shared" si="10"/>
        <v>0</v>
      </c>
    </row>
    <row r="673" spans="1:5" x14ac:dyDescent="0.25">
      <c r="A673">
        <v>130403</v>
      </c>
      <c r="B673" s="2" t="s">
        <v>732</v>
      </c>
      <c r="C673" s="2" t="s">
        <v>753</v>
      </c>
      <c r="D673" s="2" t="s">
        <v>756</v>
      </c>
      <c r="E673" s="4">
        <f t="shared" si="10"/>
        <v>0</v>
      </c>
    </row>
    <row r="674" spans="1:5" x14ac:dyDescent="0.25">
      <c r="A674">
        <v>130404</v>
      </c>
      <c r="B674" s="2" t="s">
        <v>732</v>
      </c>
      <c r="C674" s="2" t="s">
        <v>753</v>
      </c>
      <c r="D674" s="2" t="s">
        <v>125</v>
      </c>
      <c r="E674" s="4">
        <f t="shared" si="10"/>
        <v>0</v>
      </c>
    </row>
    <row r="675" spans="1:5" x14ac:dyDescent="0.25">
      <c r="A675">
        <v>130405</v>
      </c>
      <c r="B675" s="2" t="s">
        <v>732</v>
      </c>
      <c r="C675" s="2" t="s">
        <v>753</v>
      </c>
      <c r="D675" s="2" t="s">
        <v>757</v>
      </c>
      <c r="E675" s="4">
        <f t="shared" si="10"/>
        <v>0</v>
      </c>
    </row>
    <row r="676" spans="1:5" x14ac:dyDescent="0.25">
      <c r="A676">
        <v>130406</v>
      </c>
      <c r="B676" s="2" t="s">
        <v>732</v>
      </c>
      <c r="C676" s="2" t="s">
        <v>753</v>
      </c>
      <c r="D676" s="2" t="s">
        <v>758</v>
      </c>
      <c r="E676" s="4">
        <f t="shared" si="10"/>
        <v>0</v>
      </c>
    </row>
    <row r="677" spans="1:5" x14ac:dyDescent="0.25">
      <c r="A677">
        <v>130407</v>
      </c>
      <c r="B677" s="2" t="s">
        <v>732</v>
      </c>
      <c r="C677" s="2" t="s">
        <v>753</v>
      </c>
      <c r="D677" s="2" t="s">
        <v>285</v>
      </c>
      <c r="E677" s="4">
        <f t="shared" si="10"/>
        <v>0</v>
      </c>
    </row>
    <row r="678" spans="1:5" x14ac:dyDescent="0.25">
      <c r="A678">
        <v>130408</v>
      </c>
      <c r="B678" s="2" t="s">
        <v>732</v>
      </c>
      <c r="C678" s="2" t="s">
        <v>753</v>
      </c>
      <c r="D678" s="2" t="s">
        <v>759</v>
      </c>
      <c r="E678" s="4">
        <f t="shared" si="10"/>
        <v>0</v>
      </c>
    </row>
    <row r="679" spans="1:5" x14ac:dyDescent="0.25">
      <c r="A679">
        <v>130409</v>
      </c>
      <c r="B679" s="2" t="s">
        <v>732</v>
      </c>
      <c r="C679" s="2" t="s">
        <v>753</v>
      </c>
      <c r="D679" s="2" t="s">
        <v>760</v>
      </c>
      <c r="E679" s="4">
        <f t="shared" si="10"/>
        <v>0</v>
      </c>
    </row>
    <row r="680" spans="1:5" x14ac:dyDescent="0.25">
      <c r="A680">
        <v>130410</v>
      </c>
      <c r="B680" s="2" t="s">
        <v>732</v>
      </c>
      <c r="C680" s="2" t="s">
        <v>753</v>
      </c>
      <c r="D680" s="2" t="s">
        <v>761</v>
      </c>
      <c r="E680" s="4">
        <f t="shared" si="10"/>
        <v>0</v>
      </c>
    </row>
    <row r="681" spans="1:5" x14ac:dyDescent="0.25">
      <c r="A681">
        <v>130411</v>
      </c>
      <c r="B681" s="2" t="s">
        <v>732</v>
      </c>
      <c r="C681" s="2" t="s">
        <v>753</v>
      </c>
      <c r="D681" s="2" t="s">
        <v>762</v>
      </c>
      <c r="E681" s="4">
        <f t="shared" si="10"/>
        <v>0</v>
      </c>
    </row>
    <row r="682" spans="1:5" x14ac:dyDescent="0.25">
      <c r="A682">
        <v>130701</v>
      </c>
      <c r="B682" s="2" t="s">
        <v>732</v>
      </c>
      <c r="C682" s="2" t="s">
        <v>763</v>
      </c>
      <c r="D682" s="2" t="s">
        <v>764</v>
      </c>
      <c r="E682" s="4">
        <f t="shared" si="10"/>
        <v>0</v>
      </c>
    </row>
    <row r="683" spans="1:5" x14ac:dyDescent="0.25">
      <c r="A683">
        <v>130702</v>
      </c>
      <c r="B683" s="2" t="s">
        <v>732</v>
      </c>
      <c r="C683" s="2" t="s">
        <v>763</v>
      </c>
      <c r="D683" s="2" t="s">
        <v>765</v>
      </c>
      <c r="E683" s="4">
        <f t="shared" si="10"/>
        <v>0</v>
      </c>
    </row>
    <row r="684" spans="1:5" x14ac:dyDescent="0.25">
      <c r="A684">
        <v>130703</v>
      </c>
      <c r="B684" s="2" t="s">
        <v>732</v>
      </c>
      <c r="C684" s="2" t="s">
        <v>763</v>
      </c>
      <c r="D684" s="2" t="s">
        <v>766</v>
      </c>
      <c r="E684" s="4">
        <f t="shared" si="10"/>
        <v>0</v>
      </c>
    </row>
    <row r="685" spans="1:5" x14ac:dyDescent="0.25">
      <c r="A685">
        <v>130703</v>
      </c>
      <c r="B685" s="2" t="s">
        <v>732</v>
      </c>
      <c r="C685" s="2" t="s">
        <v>763</v>
      </c>
      <c r="D685" s="2" t="s">
        <v>766</v>
      </c>
      <c r="E685" s="4">
        <f t="shared" si="10"/>
        <v>0</v>
      </c>
    </row>
    <row r="686" spans="1:5" x14ac:dyDescent="0.25">
      <c r="A686">
        <v>130704</v>
      </c>
      <c r="B686" s="2" t="s">
        <v>732</v>
      </c>
      <c r="C686" s="2" t="s">
        <v>763</v>
      </c>
      <c r="D686" s="2" t="s">
        <v>767</v>
      </c>
      <c r="E686" s="4">
        <f t="shared" si="10"/>
        <v>0</v>
      </c>
    </row>
    <row r="687" spans="1:5" x14ac:dyDescent="0.25">
      <c r="A687">
        <v>130704</v>
      </c>
      <c r="B687" s="2" t="s">
        <v>732</v>
      </c>
      <c r="C687" s="2" t="s">
        <v>763</v>
      </c>
      <c r="D687" s="2" t="s">
        <v>767</v>
      </c>
      <c r="E687" s="4">
        <f t="shared" si="10"/>
        <v>0</v>
      </c>
    </row>
    <row r="688" spans="1:5" x14ac:dyDescent="0.25">
      <c r="A688">
        <v>130705</v>
      </c>
      <c r="B688" s="2" t="s">
        <v>732</v>
      </c>
      <c r="C688" s="2" t="s">
        <v>763</v>
      </c>
      <c r="D688" s="2" t="s">
        <v>768</v>
      </c>
      <c r="E688" s="4">
        <f t="shared" si="10"/>
        <v>0</v>
      </c>
    </row>
    <row r="689" spans="1:5" x14ac:dyDescent="0.25">
      <c r="A689">
        <v>130705</v>
      </c>
      <c r="B689" s="2" t="s">
        <v>732</v>
      </c>
      <c r="C689" s="2" t="s">
        <v>763</v>
      </c>
      <c r="D689" s="2" t="s">
        <v>768</v>
      </c>
      <c r="E689" s="4">
        <f t="shared" si="10"/>
        <v>0</v>
      </c>
    </row>
    <row r="690" spans="1:5" x14ac:dyDescent="0.25">
      <c r="A690">
        <v>130706</v>
      </c>
      <c r="B690" s="2" t="s">
        <v>732</v>
      </c>
      <c r="C690" s="2" t="s">
        <v>763</v>
      </c>
      <c r="D690" s="2" t="s">
        <v>158</v>
      </c>
      <c r="E690" s="4">
        <f t="shared" si="10"/>
        <v>0</v>
      </c>
    </row>
    <row r="691" spans="1:5" x14ac:dyDescent="0.25">
      <c r="A691">
        <v>130707</v>
      </c>
      <c r="B691" s="2" t="s">
        <v>732</v>
      </c>
      <c r="C691" s="2" t="s">
        <v>763</v>
      </c>
      <c r="D691" s="2" t="s">
        <v>769</v>
      </c>
      <c r="E691" s="4">
        <f t="shared" si="10"/>
        <v>0</v>
      </c>
    </row>
    <row r="692" spans="1:5" x14ac:dyDescent="0.25">
      <c r="A692">
        <v>130708</v>
      </c>
      <c r="B692" s="2" t="s">
        <v>732</v>
      </c>
      <c r="C692" s="2" t="s">
        <v>763</v>
      </c>
      <c r="D692" s="2" t="s">
        <v>770</v>
      </c>
      <c r="E692" s="4">
        <f t="shared" si="10"/>
        <v>0</v>
      </c>
    </row>
    <row r="693" spans="1:5" x14ac:dyDescent="0.25">
      <c r="A693">
        <v>130709</v>
      </c>
      <c r="B693" s="2" t="s">
        <v>732</v>
      </c>
      <c r="C693" s="2" t="s">
        <v>763</v>
      </c>
      <c r="D693" s="2" t="s">
        <v>321</v>
      </c>
      <c r="E693" s="4">
        <f t="shared" si="10"/>
        <v>0</v>
      </c>
    </row>
    <row r="694" spans="1:5" x14ac:dyDescent="0.25">
      <c r="A694">
        <v>130710</v>
      </c>
      <c r="B694" s="2" t="s">
        <v>732</v>
      </c>
      <c r="C694" s="2" t="s">
        <v>763</v>
      </c>
      <c r="D694" s="2" t="s">
        <v>771</v>
      </c>
      <c r="E694" s="4">
        <f t="shared" si="10"/>
        <v>0</v>
      </c>
    </row>
    <row r="695" spans="1:5" x14ac:dyDescent="0.25">
      <c r="A695">
        <v>130711</v>
      </c>
      <c r="B695" s="2" t="s">
        <v>732</v>
      </c>
      <c r="C695" s="2" t="s">
        <v>763</v>
      </c>
      <c r="D695" s="2" t="s">
        <v>772</v>
      </c>
      <c r="E695" s="4">
        <f t="shared" si="10"/>
        <v>0</v>
      </c>
    </row>
    <row r="696" spans="1:5" x14ac:dyDescent="0.25">
      <c r="A696">
        <v>130711</v>
      </c>
      <c r="B696" s="2" t="s">
        <v>732</v>
      </c>
      <c r="C696" s="2" t="s">
        <v>763</v>
      </c>
      <c r="D696" s="2" t="s">
        <v>772</v>
      </c>
      <c r="E696" s="4">
        <f t="shared" si="10"/>
        <v>0</v>
      </c>
    </row>
    <row r="697" spans="1:5" x14ac:dyDescent="0.25">
      <c r="A697">
        <v>130712</v>
      </c>
      <c r="B697" s="2" t="s">
        <v>732</v>
      </c>
      <c r="C697" s="2" t="s">
        <v>763</v>
      </c>
      <c r="D697" s="2" t="s">
        <v>773</v>
      </c>
      <c r="E697" s="4">
        <f t="shared" si="10"/>
        <v>0</v>
      </c>
    </row>
    <row r="698" spans="1:5" x14ac:dyDescent="0.25">
      <c r="A698">
        <v>130712</v>
      </c>
      <c r="B698" s="2" t="s">
        <v>732</v>
      </c>
      <c r="C698" s="2" t="s">
        <v>763</v>
      </c>
      <c r="D698" s="2" t="s">
        <v>773</v>
      </c>
      <c r="E698" s="4">
        <f t="shared" si="10"/>
        <v>0</v>
      </c>
    </row>
    <row r="699" spans="1:5" x14ac:dyDescent="0.25">
      <c r="A699">
        <v>130713</v>
      </c>
      <c r="B699" s="2" t="s">
        <v>732</v>
      </c>
      <c r="C699" s="2" t="s">
        <v>763</v>
      </c>
      <c r="D699" s="2" t="s">
        <v>774</v>
      </c>
      <c r="E699" s="4">
        <f t="shared" si="10"/>
        <v>0</v>
      </c>
    </row>
    <row r="700" spans="1:5" x14ac:dyDescent="0.25">
      <c r="A700">
        <v>130714</v>
      </c>
      <c r="B700" s="2" t="s">
        <v>732</v>
      </c>
      <c r="C700" s="2" t="s">
        <v>763</v>
      </c>
      <c r="D700" s="2" t="s">
        <v>775</v>
      </c>
      <c r="E700" s="4">
        <f t="shared" si="10"/>
        <v>0</v>
      </c>
    </row>
    <row r="701" spans="1:5" x14ac:dyDescent="0.25">
      <c r="A701">
        <v>130714</v>
      </c>
      <c r="B701" s="2" t="s">
        <v>732</v>
      </c>
      <c r="C701" s="2" t="s">
        <v>763</v>
      </c>
      <c r="D701" s="2" t="s">
        <v>775</v>
      </c>
      <c r="E701" s="4">
        <f t="shared" si="10"/>
        <v>0</v>
      </c>
    </row>
    <row r="702" spans="1:5" x14ac:dyDescent="0.25">
      <c r="A702">
        <v>130715</v>
      </c>
      <c r="B702" s="2" t="s">
        <v>732</v>
      </c>
      <c r="C702" s="2" t="s">
        <v>763</v>
      </c>
      <c r="D702" s="2" t="s">
        <v>776</v>
      </c>
      <c r="E702" s="4">
        <f t="shared" si="10"/>
        <v>0</v>
      </c>
    </row>
    <row r="703" spans="1:5" x14ac:dyDescent="0.25">
      <c r="A703">
        <v>130716</v>
      </c>
      <c r="B703" s="2" t="s">
        <v>732</v>
      </c>
      <c r="C703" s="2" t="s">
        <v>763</v>
      </c>
      <c r="D703" s="2" t="s">
        <v>777</v>
      </c>
      <c r="E703" s="4">
        <f t="shared" si="10"/>
        <v>0</v>
      </c>
    </row>
    <row r="704" spans="1:5" x14ac:dyDescent="0.25">
      <c r="A704">
        <v>130717</v>
      </c>
      <c r="B704" s="2" t="s">
        <v>732</v>
      </c>
      <c r="C704" s="2" t="s">
        <v>763</v>
      </c>
      <c r="D704" s="2" t="s">
        <v>778</v>
      </c>
      <c r="E704" s="4">
        <f t="shared" si="10"/>
        <v>0</v>
      </c>
    </row>
    <row r="705" spans="1:5" x14ac:dyDescent="0.25">
      <c r="A705">
        <v>130718</v>
      </c>
      <c r="B705" s="2" t="s">
        <v>732</v>
      </c>
      <c r="C705" s="2" t="s">
        <v>763</v>
      </c>
      <c r="D705" s="2" t="s">
        <v>132</v>
      </c>
      <c r="E705" s="4">
        <f t="shared" si="10"/>
        <v>0</v>
      </c>
    </row>
    <row r="706" spans="1:5" x14ac:dyDescent="0.25">
      <c r="A706">
        <v>130901</v>
      </c>
      <c r="B706" s="2" t="s">
        <v>732</v>
      </c>
      <c r="C706" s="2" t="s">
        <v>252</v>
      </c>
      <c r="D706" s="2" t="s">
        <v>779</v>
      </c>
      <c r="E706" s="4">
        <f t="shared" si="10"/>
        <v>0</v>
      </c>
    </row>
    <row r="707" spans="1:5" x14ac:dyDescent="0.25">
      <c r="A707">
        <v>130902</v>
      </c>
      <c r="B707" s="2" t="s">
        <v>732</v>
      </c>
      <c r="C707" s="2" t="s">
        <v>252</v>
      </c>
      <c r="D707" s="2" t="s">
        <v>780</v>
      </c>
      <c r="E707" s="4">
        <f t="shared" si="10"/>
        <v>0</v>
      </c>
    </row>
    <row r="708" spans="1:5" x14ac:dyDescent="0.25">
      <c r="A708">
        <v>130903</v>
      </c>
      <c r="B708" s="2" t="s">
        <v>732</v>
      </c>
      <c r="C708" s="2" t="s">
        <v>252</v>
      </c>
      <c r="D708" s="2" t="s">
        <v>704</v>
      </c>
      <c r="E708" s="4">
        <f t="shared" si="10"/>
        <v>0</v>
      </c>
    </row>
    <row r="709" spans="1:5" x14ac:dyDescent="0.25">
      <c r="A709">
        <v>130904</v>
      </c>
      <c r="B709" s="2" t="s">
        <v>732</v>
      </c>
      <c r="C709" s="2" t="s">
        <v>252</v>
      </c>
      <c r="D709" s="2" t="s">
        <v>653</v>
      </c>
      <c r="E709" s="4">
        <f t="shared" ref="E709:E714" si="11">SUM(F709:AEZ709)</f>
        <v>0</v>
      </c>
    </row>
    <row r="710" spans="1:5" x14ac:dyDescent="0.25">
      <c r="A710">
        <v>130905</v>
      </c>
      <c r="B710" s="2" t="s">
        <v>732</v>
      </c>
      <c r="C710" s="2" t="s">
        <v>252</v>
      </c>
      <c r="D710" s="2" t="s">
        <v>781</v>
      </c>
      <c r="E710" s="4">
        <f t="shared" si="11"/>
        <v>0</v>
      </c>
    </row>
    <row r="711" spans="1:5" x14ac:dyDescent="0.25">
      <c r="A711">
        <v>130906</v>
      </c>
      <c r="B711" s="2" t="s">
        <v>732</v>
      </c>
      <c r="C711" s="2" t="s">
        <v>252</v>
      </c>
      <c r="D711" s="2" t="s">
        <v>520</v>
      </c>
      <c r="E711" s="4">
        <f t="shared" si="11"/>
        <v>0</v>
      </c>
    </row>
    <row r="712" spans="1:5" x14ac:dyDescent="0.25">
      <c r="A712">
        <v>130907</v>
      </c>
      <c r="B712" s="2" t="s">
        <v>732</v>
      </c>
      <c r="C712" s="2" t="s">
        <v>252</v>
      </c>
      <c r="D712" s="2" t="s">
        <v>782</v>
      </c>
      <c r="E712" s="4">
        <f t="shared" si="11"/>
        <v>0</v>
      </c>
    </row>
    <row r="713" spans="1:5" x14ac:dyDescent="0.25">
      <c r="A713">
        <v>130908</v>
      </c>
      <c r="B713" s="2" t="s">
        <v>732</v>
      </c>
      <c r="C713" s="2" t="s">
        <v>252</v>
      </c>
      <c r="D713" s="2" t="s">
        <v>783</v>
      </c>
      <c r="E713" s="4">
        <f t="shared" si="11"/>
        <v>0</v>
      </c>
    </row>
    <row r="714" spans="1:5" x14ac:dyDescent="0.25">
      <c r="A714">
        <v>130909</v>
      </c>
      <c r="B714" s="2" t="s">
        <v>732</v>
      </c>
      <c r="C714" s="2" t="s">
        <v>252</v>
      </c>
      <c r="D714" s="2" t="s">
        <v>402</v>
      </c>
      <c r="E714" s="4">
        <f t="shared" si="11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93-209C-418A-BD4F-70C731B80B65}">
  <dimension ref="A2:E714"/>
  <sheetViews>
    <sheetView showGridLines="0" topLeftCell="A567" workbookViewId="0">
      <selection activeCell="E579" sqref="E579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14.42578125" customWidth="1"/>
  </cols>
  <sheetData>
    <row r="2" spans="1:5" ht="15.75" x14ac:dyDescent="0.25">
      <c r="E2" s="5"/>
    </row>
    <row r="3" spans="1:5" s="6" customFormat="1" ht="25.9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786</v>
      </c>
    </row>
    <row r="4" spans="1:5" x14ac:dyDescent="0.25">
      <c r="A4">
        <v>80821</v>
      </c>
      <c r="B4" s="2" t="s">
        <v>451</v>
      </c>
      <c r="C4" s="2" t="s">
        <v>451</v>
      </c>
      <c r="D4" s="2" t="s">
        <v>490</v>
      </c>
      <c r="E4" s="4">
        <v>16</v>
      </c>
    </row>
    <row r="5" spans="1:5" x14ac:dyDescent="0.25">
      <c r="A5">
        <v>30202</v>
      </c>
      <c r="B5" s="2" t="s">
        <v>164</v>
      </c>
      <c r="C5" s="2" t="s">
        <v>179</v>
      </c>
      <c r="D5" s="2" t="s">
        <v>181</v>
      </c>
      <c r="E5" s="4"/>
    </row>
    <row r="6" spans="1:5" x14ac:dyDescent="0.25">
      <c r="A6">
        <v>70313</v>
      </c>
      <c r="B6" s="2" t="s">
        <v>374</v>
      </c>
      <c r="C6" s="2" t="s">
        <v>374</v>
      </c>
      <c r="D6" s="2" t="s">
        <v>416</v>
      </c>
      <c r="E6" s="4"/>
    </row>
    <row r="7" spans="1:5" ht="24" x14ac:dyDescent="0.25">
      <c r="A7">
        <v>120502</v>
      </c>
      <c r="B7" s="2" t="s">
        <v>608</v>
      </c>
      <c r="C7" s="2" t="s">
        <v>645</v>
      </c>
      <c r="D7" s="2" t="s">
        <v>647</v>
      </c>
      <c r="E7" s="4"/>
    </row>
    <row r="8" spans="1:5" x14ac:dyDescent="0.25">
      <c r="A8">
        <v>50313</v>
      </c>
      <c r="B8" s="2" t="s">
        <v>301</v>
      </c>
      <c r="C8" s="2" t="s">
        <v>564</v>
      </c>
      <c r="D8" s="2" t="s">
        <v>696</v>
      </c>
      <c r="E8" s="4">
        <v>0</v>
      </c>
    </row>
    <row r="9" spans="1:5" x14ac:dyDescent="0.25">
      <c r="A9">
        <v>20101</v>
      </c>
      <c r="B9" s="2" t="s">
        <v>116</v>
      </c>
      <c r="C9" s="2" t="s">
        <v>117</v>
      </c>
      <c r="D9" s="2" t="s">
        <v>118</v>
      </c>
      <c r="E9" s="4">
        <v>1</v>
      </c>
    </row>
    <row r="10" spans="1:5" ht="24" x14ac:dyDescent="0.25">
      <c r="A10">
        <v>100102</v>
      </c>
      <c r="B10" s="2" t="s">
        <v>596</v>
      </c>
      <c r="C10" s="2" t="s">
        <v>596</v>
      </c>
      <c r="D10" s="2" t="s">
        <v>598</v>
      </c>
      <c r="E10" s="4">
        <v>4</v>
      </c>
    </row>
    <row r="11" spans="1:5" x14ac:dyDescent="0.25">
      <c r="A11">
        <v>40101</v>
      </c>
      <c r="B11" s="2" t="s">
        <v>205</v>
      </c>
      <c r="C11" s="2" t="s">
        <v>206</v>
      </c>
      <c r="D11" s="2" t="s">
        <v>207</v>
      </c>
      <c r="E11" s="4">
        <v>0</v>
      </c>
    </row>
    <row r="12" spans="1:5" x14ac:dyDescent="0.25">
      <c r="A12">
        <v>80822</v>
      </c>
      <c r="B12" s="2" t="s">
        <v>451</v>
      </c>
      <c r="C12" s="2" t="s">
        <v>451</v>
      </c>
      <c r="D12" s="2" t="s">
        <v>491</v>
      </c>
      <c r="E12" s="4">
        <v>2</v>
      </c>
    </row>
    <row r="13" spans="1:5" x14ac:dyDescent="0.25">
      <c r="A13">
        <v>10401</v>
      </c>
      <c r="B13" s="2" t="s">
        <v>92</v>
      </c>
      <c r="C13" s="2" t="s">
        <v>98</v>
      </c>
      <c r="D13" s="2" t="s">
        <v>669</v>
      </c>
      <c r="E13" s="4">
        <v>0</v>
      </c>
    </row>
    <row r="14" spans="1:5" ht="24" x14ac:dyDescent="0.25">
      <c r="A14">
        <v>120902</v>
      </c>
      <c r="B14" s="2" t="s">
        <v>608</v>
      </c>
      <c r="C14" s="2" t="s">
        <v>726</v>
      </c>
      <c r="D14" s="2" t="s">
        <v>728</v>
      </c>
      <c r="E14" s="4"/>
    </row>
    <row r="15" spans="1:5" x14ac:dyDescent="0.25">
      <c r="A15">
        <v>40404</v>
      </c>
      <c r="B15" s="2" t="s">
        <v>205</v>
      </c>
      <c r="C15" s="2" t="s">
        <v>231</v>
      </c>
      <c r="D15" s="2" t="s">
        <v>234</v>
      </c>
      <c r="E15" s="4">
        <v>0</v>
      </c>
    </row>
    <row r="16" spans="1:5" ht="24" x14ac:dyDescent="0.25">
      <c r="A16">
        <v>120302</v>
      </c>
      <c r="B16" s="2" t="s">
        <v>608</v>
      </c>
      <c r="C16" s="2" t="s">
        <v>627</v>
      </c>
      <c r="D16" s="2" t="s">
        <v>629</v>
      </c>
      <c r="E16" s="4"/>
    </row>
    <row r="17" spans="1:5" ht="24" x14ac:dyDescent="0.25">
      <c r="A17">
        <v>120503</v>
      </c>
      <c r="B17" s="2" t="s">
        <v>608</v>
      </c>
      <c r="C17" s="2" t="s">
        <v>645</v>
      </c>
      <c r="D17" s="2" t="s">
        <v>648</v>
      </c>
      <c r="E17" s="4"/>
    </row>
    <row r="18" spans="1:5" x14ac:dyDescent="0.25">
      <c r="A18">
        <v>70702</v>
      </c>
      <c r="B18" s="2" t="s">
        <v>374</v>
      </c>
      <c r="C18" s="2" t="s">
        <v>439</v>
      </c>
      <c r="D18" s="2" t="s">
        <v>441</v>
      </c>
      <c r="E18" s="4"/>
    </row>
    <row r="19" spans="1:5" x14ac:dyDescent="0.25">
      <c r="A19">
        <v>130703</v>
      </c>
      <c r="B19" s="2" t="s">
        <v>732</v>
      </c>
      <c r="C19" s="2" t="s">
        <v>763</v>
      </c>
      <c r="D19" s="2" t="s">
        <v>766</v>
      </c>
      <c r="E19" s="4">
        <v>0</v>
      </c>
    </row>
    <row r="20" spans="1:5" x14ac:dyDescent="0.25">
      <c r="A20">
        <v>130703</v>
      </c>
      <c r="B20" s="2" t="s">
        <v>732</v>
      </c>
      <c r="C20" s="2" t="s">
        <v>763</v>
      </c>
      <c r="D20" s="2" t="s">
        <v>766</v>
      </c>
      <c r="E20" s="4">
        <v>0</v>
      </c>
    </row>
    <row r="21" spans="1:5" x14ac:dyDescent="0.25">
      <c r="A21">
        <v>81001</v>
      </c>
      <c r="B21" s="2" t="s">
        <v>451</v>
      </c>
      <c r="C21" s="2" t="s">
        <v>494</v>
      </c>
      <c r="D21" s="2" t="s">
        <v>495</v>
      </c>
      <c r="E21" s="4">
        <v>8</v>
      </c>
    </row>
    <row r="22" spans="1:5" x14ac:dyDescent="0.25">
      <c r="A22">
        <v>80814</v>
      </c>
      <c r="B22" s="2" t="s">
        <v>451</v>
      </c>
      <c r="C22" s="2" t="s">
        <v>451</v>
      </c>
      <c r="D22" s="2" t="s">
        <v>493</v>
      </c>
      <c r="E22" s="4">
        <v>7</v>
      </c>
    </row>
    <row r="23" spans="1:5" x14ac:dyDescent="0.25">
      <c r="A23">
        <v>80814</v>
      </c>
      <c r="B23" s="2" t="s">
        <v>451</v>
      </c>
      <c r="C23" s="2" t="s">
        <v>451</v>
      </c>
      <c r="D23" s="2" t="s">
        <v>493</v>
      </c>
      <c r="E23" s="4">
        <v>7</v>
      </c>
    </row>
    <row r="24" spans="1:5" x14ac:dyDescent="0.25">
      <c r="A24">
        <v>20201</v>
      </c>
      <c r="B24" s="2" t="s">
        <v>116</v>
      </c>
      <c r="C24" s="2" t="s">
        <v>123</v>
      </c>
      <c r="D24" s="2" t="s">
        <v>124</v>
      </c>
      <c r="E24" s="4">
        <v>0</v>
      </c>
    </row>
    <row r="25" spans="1:5" x14ac:dyDescent="0.25">
      <c r="A25">
        <v>91202</v>
      </c>
      <c r="B25" s="2" t="s">
        <v>508</v>
      </c>
      <c r="C25" s="2" t="s">
        <v>591</v>
      </c>
      <c r="D25" s="2" t="s">
        <v>593</v>
      </c>
      <c r="E25" s="4"/>
    </row>
    <row r="26" spans="1:5" x14ac:dyDescent="0.25">
      <c r="A26">
        <v>81006</v>
      </c>
      <c r="B26" s="2" t="s">
        <v>451</v>
      </c>
      <c r="C26" s="2" t="s">
        <v>494</v>
      </c>
      <c r="D26" s="2" t="s">
        <v>500</v>
      </c>
      <c r="E26" s="4">
        <v>5</v>
      </c>
    </row>
    <row r="27" spans="1:5" x14ac:dyDescent="0.25">
      <c r="A27">
        <v>130704</v>
      </c>
      <c r="B27" s="2" t="s">
        <v>732</v>
      </c>
      <c r="C27" s="2" t="s">
        <v>763</v>
      </c>
      <c r="D27" s="2" t="s">
        <v>767</v>
      </c>
      <c r="E27" s="4">
        <v>0</v>
      </c>
    </row>
    <row r="28" spans="1:5" x14ac:dyDescent="0.25">
      <c r="A28">
        <v>130704</v>
      </c>
      <c r="B28" s="2" t="s">
        <v>732</v>
      </c>
      <c r="C28" s="2" t="s">
        <v>763</v>
      </c>
      <c r="D28" s="2" t="s">
        <v>767</v>
      </c>
      <c r="E28" s="4">
        <v>0</v>
      </c>
    </row>
    <row r="29" spans="1:5" x14ac:dyDescent="0.25">
      <c r="A29">
        <v>130101</v>
      </c>
      <c r="B29" s="2" t="s">
        <v>732</v>
      </c>
      <c r="C29" s="2" t="s">
        <v>733</v>
      </c>
      <c r="D29" s="2" t="s">
        <v>734</v>
      </c>
      <c r="E29" s="4">
        <v>24</v>
      </c>
    </row>
    <row r="30" spans="1:5" x14ac:dyDescent="0.25">
      <c r="A30">
        <v>130101</v>
      </c>
      <c r="B30" s="2" t="s">
        <v>732</v>
      </c>
      <c r="C30" s="2" t="s">
        <v>733</v>
      </c>
      <c r="D30" s="2" t="s">
        <v>734</v>
      </c>
      <c r="E30" s="4">
        <v>24</v>
      </c>
    </row>
    <row r="31" spans="1:5" x14ac:dyDescent="0.25">
      <c r="A31">
        <v>40502</v>
      </c>
      <c r="B31" s="2" t="s">
        <v>205</v>
      </c>
      <c r="C31" s="2" t="s">
        <v>237</v>
      </c>
      <c r="D31" s="2" t="s">
        <v>239</v>
      </c>
      <c r="E31" s="4">
        <v>0</v>
      </c>
    </row>
    <row r="32" spans="1:5" x14ac:dyDescent="0.25">
      <c r="A32">
        <v>90101</v>
      </c>
      <c r="B32" s="2" t="s">
        <v>508</v>
      </c>
      <c r="C32" s="2" t="s">
        <v>509</v>
      </c>
      <c r="D32" s="2" t="s">
        <v>510</v>
      </c>
      <c r="E32" s="4">
        <v>0</v>
      </c>
    </row>
    <row r="33" spans="1:5" x14ac:dyDescent="0.25">
      <c r="A33">
        <v>40204</v>
      </c>
      <c r="B33" s="2" t="s">
        <v>205</v>
      </c>
      <c r="C33" s="2" t="s">
        <v>216</v>
      </c>
      <c r="D33" s="2" t="s">
        <v>220</v>
      </c>
      <c r="E33" s="4">
        <v>0</v>
      </c>
    </row>
    <row r="34" spans="1:5" x14ac:dyDescent="0.25">
      <c r="A34">
        <v>40302</v>
      </c>
      <c r="B34" s="2" t="s">
        <v>205</v>
      </c>
      <c r="C34" s="2" t="s">
        <v>222</v>
      </c>
      <c r="D34" s="2" t="s">
        <v>224</v>
      </c>
      <c r="E34" s="4">
        <v>0</v>
      </c>
    </row>
    <row r="35" spans="1:5" ht="24" x14ac:dyDescent="0.25">
      <c r="A35">
        <v>120702</v>
      </c>
      <c r="B35" s="2" t="s">
        <v>608</v>
      </c>
      <c r="C35" s="2" t="s">
        <v>660</v>
      </c>
      <c r="D35" s="2" t="s">
        <v>661</v>
      </c>
      <c r="E35" s="4"/>
    </row>
    <row r="36" spans="1:5" x14ac:dyDescent="0.25">
      <c r="A36">
        <v>70402</v>
      </c>
      <c r="B36" s="2" t="s">
        <v>374</v>
      </c>
      <c r="C36" s="2" t="s">
        <v>418</v>
      </c>
      <c r="D36" s="2" t="s">
        <v>420</v>
      </c>
      <c r="E36" s="4"/>
    </row>
    <row r="37" spans="1:5" x14ac:dyDescent="0.25">
      <c r="A37">
        <v>91102</v>
      </c>
      <c r="B37" s="2" t="s">
        <v>508</v>
      </c>
      <c r="C37" s="2" t="s">
        <v>583</v>
      </c>
      <c r="D37" s="2" t="s">
        <v>420</v>
      </c>
      <c r="E37" s="4">
        <v>0</v>
      </c>
    </row>
    <row r="38" spans="1:5" x14ac:dyDescent="0.25">
      <c r="A38">
        <v>10306</v>
      </c>
      <c r="B38" s="2" t="s">
        <v>92</v>
      </c>
      <c r="C38" s="2" t="s">
        <v>109</v>
      </c>
      <c r="D38" s="2" t="s">
        <v>115</v>
      </c>
      <c r="E38" s="4">
        <v>0</v>
      </c>
    </row>
    <row r="39" spans="1:5" x14ac:dyDescent="0.25">
      <c r="A39">
        <v>70202</v>
      </c>
      <c r="B39" s="2" t="s">
        <v>374</v>
      </c>
      <c r="C39" s="2" t="s">
        <v>105</v>
      </c>
      <c r="D39" s="2" t="s">
        <v>387</v>
      </c>
      <c r="E39" s="4"/>
    </row>
    <row r="40" spans="1:5" x14ac:dyDescent="0.25">
      <c r="A40">
        <v>70403</v>
      </c>
      <c r="B40" s="2" t="s">
        <v>374</v>
      </c>
      <c r="C40" s="2" t="s">
        <v>418</v>
      </c>
      <c r="D40" s="2" t="s">
        <v>421</v>
      </c>
      <c r="E40" s="4"/>
    </row>
    <row r="41" spans="1:5" ht="24" x14ac:dyDescent="0.25">
      <c r="A41">
        <v>120303</v>
      </c>
      <c r="B41" s="2" t="s">
        <v>608</v>
      </c>
      <c r="C41" s="2" t="s">
        <v>627</v>
      </c>
      <c r="D41" s="2" t="s">
        <v>630</v>
      </c>
      <c r="E41" s="4">
        <v>0</v>
      </c>
    </row>
    <row r="42" spans="1:5" x14ac:dyDescent="0.25">
      <c r="A42">
        <v>90202</v>
      </c>
      <c r="B42" s="2" t="s">
        <v>508</v>
      </c>
      <c r="C42" s="2" t="s">
        <v>515</v>
      </c>
      <c r="D42" s="2" t="s">
        <v>517</v>
      </c>
      <c r="E42" s="4"/>
    </row>
    <row r="43" spans="1:5" x14ac:dyDescent="0.25">
      <c r="A43">
        <v>10213</v>
      </c>
      <c r="B43" s="2" t="s">
        <v>92</v>
      </c>
      <c r="C43" s="2" t="s">
        <v>100</v>
      </c>
      <c r="D43" s="2" t="s">
        <v>664</v>
      </c>
      <c r="E43" s="4">
        <v>0</v>
      </c>
    </row>
    <row r="44" spans="1:5" x14ac:dyDescent="0.25">
      <c r="A44">
        <v>10403</v>
      </c>
      <c r="B44" s="2" t="s">
        <v>92</v>
      </c>
      <c r="C44" s="2" t="s">
        <v>98</v>
      </c>
      <c r="D44" s="2" t="s">
        <v>674</v>
      </c>
      <c r="E44" s="4">
        <v>0</v>
      </c>
    </row>
    <row r="45" spans="1:5" x14ac:dyDescent="0.25">
      <c r="A45">
        <v>130701</v>
      </c>
      <c r="B45" s="2" t="s">
        <v>732</v>
      </c>
      <c r="C45" s="2" t="s">
        <v>763</v>
      </c>
      <c r="D45" s="2" t="s">
        <v>764</v>
      </c>
      <c r="E45" s="4">
        <v>1</v>
      </c>
    </row>
    <row r="46" spans="1:5" x14ac:dyDescent="0.25">
      <c r="A46">
        <v>130702</v>
      </c>
      <c r="B46" s="2" t="s">
        <v>732</v>
      </c>
      <c r="C46" s="2" t="s">
        <v>763</v>
      </c>
      <c r="D46" s="2" t="s">
        <v>765</v>
      </c>
      <c r="E46" s="4">
        <v>4</v>
      </c>
    </row>
    <row r="47" spans="1:5" x14ac:dyDescent="0.25">
      <c r="A47">
        <v>10402</v>
      </c>
      <c r="B47" s="2" t="s">
        <v>92</v>
      </c>
      <c r="C47" s="2" t="s">
        <v>98</v>
      </c>
      <c r="D47" s="2" t="s">
        <v>670</v>
      </c>
      <c r="E47" s="4">
        <v>0</v>
      </c>
    </row>
    <row r="48" spans="1:5" x14ac:dyDescent="0.25">
      <c r="A48">
        <v>30101</v>
      </c>
      <c r="B48" s="2" t="s">
        <v>164</v>
      </c>
      <c r="C48" s="2" t="s">
        <v>164</v>
      </c>
      <c r="D48" s="2" t="s">
        <v>165</v>
      </c>
      <c r="E48" s="4">
        <v>0</v>
      </c>
    </row>
    <row r="49" spans="1:5" x14ac:dyDescent="0.25">
      <c r="A49">
        <v>30102</v>
      </c>
      <c r="B49" s="2" t="s">
        <v>164</v>
      </c>
      <c r="C49" s="2" t="s">
        <v>164</v>
      </c>
      <c r="D49" s="2" t="s">
        <v>166</v>
      </c>
      <c r="E49" s="4">
        <v>1</v>
      </c>
    </row>
    <row r="50" spans="1:5" x14ac:dyDescent="0.25">
      <c r="A50">
        <v>20105</v>
      </c>
      <c r="B50" s="2" t="s">
        <v>116</v>
      </c>
      <c r="C50" s="2" t="s">
        <v>117</v>
      </c>
      <c r="D50" s="2" t="s">
        <v>122</v>
      </c>
      <c r="E50" s="4">
        <v>0</v>
      </c>
    </row>
    <row r="51" spans="1:5" x14ac:dyDescent="0.25">
      <c r="A51">
        <v>10102</v>
      </c>
      <c r="B51" s="2" t="s">
        <v>92</v>
      </c>
      <c r="C51" s="2" t="s">
        <v>92</v>
      </c>
      <c r="D51" s="2" t="s">
        <v>94</v>
      </c>
      <c r="E51" s="4"/>
    </row>
    <row r="52" spans="1:5" x14ac:dyDescent="0.25">
      <c r="A52">
        <v>70203</v>
      </c>
      <c r="B52" s="2" t="s">
        <v>374</v>
      </c>
      <c r="C52" s="2" t="s">
        <v>105</v>
      </c>
      <c r="D52" s="2" t="s">
        <v>388</v>
      </c>
      <c r="E52" s="4"/>
    </row>
    <row r="53" spans="1:5" x14ac:dyDescent="0.25">
      <c r="A53">
        <v>130402</v>
      </c>
      <c r="B53" s="2" t="s">
        <v>732</v>
      </c>
      <c r="C53" s="2" t="s">
        <v>753</v>
      </c>
      <c r="D53" s="2" t="s">
        <v>755</v>
      </c>
      <c r="E53" s="4">
        <v>0</v>
      </c>
    </row>
    <row r="54" spans="1:5" x14ac:dyDescent="0.25">
      <c r="A54">
        <v>81007</v>
      </c>
      <c r="B54" s="2" t="s">
        <v>451</v>
      </c>
      <c r="C54" s="2" t="s">
        <v>494</v>
      </c>
      <c r="D54" s="2" t="s">
        <v>501</v>
      </c>
      <c r="E54" s="4">
        <v>4</v>
      </c>
    </row>
    <row r="55" spans="1:5" x14ac:dyDescent="0.25">
      <c r="A55">
        <v>81002</v>
      </c>
      <c r="B55" s="2" t="s">
        <v>451</v>
      </c>
      <c r="C55" s="2" t="s">
        <v>494</v>
      </c>
      <c r="D55" s="2" t="s">
        <v>496</v>
      </c>
      <c r="E55" s="4">
        <v>9</v>
      </c>
    </row>
    <row r="56" spans="1:5" x14ac:dyDescent="0.25">
      <c r="A56">
        <v>41302</v>
      </c>
      <c r="B56" s="2" t="s">
        <v>205</v>
      </c>
      <c r="C56" s="2" t="s">
        <v>292</v>
      </c>
      <c r="D56" s="2" t="s">
        <v>294</v>
      </c>
      <c r="E56" s="4"/>
    </row>
    <row r="57" spans="1:5" x14ac:dyDescent="0.25">
      <c r="A57">
        <v>80807</v>
      </c>
      <c r="B57" s="2" t="s">
        <v>451</v>
      </c>
      <c r="C57" s="2" t="s">
        <v>451</v>
      </c>
      <c r="D57" s="2" t="s">
        <v>294</v>
      </c>
      <c r="E57" s="4">
        <v>7</v>
      </c>
    </row>
    <row r="58" spans="1:5" x14ac:dyDescent="0.25">
      <c r="A58">
        <v>80806</v>
      </c>
      <c r="B58" s="2" t="s">
        <v>451</v>
      </c>
      <c r="C58" s="2" t="s">
        <v>451</v>
      </c>
      <c r="D58" s="2" t="s">
        <v>477</v>
      </c>
      <c r="E58" s="4">
        <v>8</v>
      </c>
    </row>
    <row r="59" spans="1:5" x14ac:dyDescent="0.25">
      <c r="A59">
        <v>40602</v>
      </c>
      <c r="B59" s="2" t="s">
        <v>205</v>
      </c>
      <c r="C59" s="2" t="s">
        <v>247</v>
      </c>
      <c r="D59" s="2" t="s">
        <v>249</v>
      </c>
      <c r="E59" s="4"/>
    </row>
    <row r="60" spans="1:5" ht="24" x14ac:dyDescent="0.25">
      <c r="A60">
        <v>120601</v>
      </c>
      <c r="B60" s="2" t="s">
        <v>608</v>
      </c>
      <c r="C60" s="2" t="s">
        <v>655</v>
      </c>
      <c r="D60" s="2" t="s">
        <v>656</v>
      </c>
      <c r="E60" s="4"/>
    </row>
    <row r="61" spans="1:5" x14ac:dyDescent="0.25">
      <c r="A61">
        <v>90402</v>
      </c>
      <c r="B61" s="2" t="s">
        <v>508</v>
      </c>
      <c r="C61" s="2" t="s">
        <v>425</v>
      </c>
      <c r="D61" s="2" t="s">
        <v>534</v>
      </c>
      <c r="E61" s="4"/>
    </row>
    <row r="62" spans="1:5" x14ac:dyDescent="0.25">
      <c r="A62">
        <v>41202</v>
      </c>
      <c r="B62" s="2" t="s">
        <v>205</v>
      </c>
      <c r="C62" s="2" t="s">
        <v>288</v>
      </c>
      <c r="D62" s="2" t="s">
        <v>290</v>
      </c>
      <c r="E62" s="4"/>
    </row>
    <row r="63" spans="1:5" ht="24" x14ac:dyDescent="0.25">
      <c r="A63">
        <v>120102</v>
      </c>
      <c r="B63" s="2" t="s">
        <v>608</v>
      </c>
      <c r="C63" s="2" t="s">
        <v>609</v>
      </c>
      <c r="D63" s="2" t="s">
        <v>611</v>
      </c>
      <c r="E63" s="4"/>
    </row>
    <row r="64" spans="1:5" x14ac:dyDescent="0.25">
      <c r="A64">
        <v>50202</v>
      </c>
      <c r="B64" s="2" t="s">
        <v>301</v>
      </c>
      <c r="C64" s="2" t="s">
        <v>312</v>
      </c>
      <c r="D64" s="2" t="s">
        <v>314</v>
      </c>
      <c r="E64" s="4">
        <v>0</v>
      </c>
    </row>
    <row r="65" spans="1:5" x14ac:dyDescent="0.25">
      <c r="A65">
        <v>41203</v>
      </c>
      <c r="B65" s="2" t="s">
        <v>205</v>
      </c>
      <c r="C65" s="2" t="s">
        <v>288</v>
      </c>
      <c r="D65" s="2" t="s">
        <v>291</v>
      </c>
      <c r="E65" s="4"/>
    </row>
    <row r="66" spans="1:5" x14ac:dyDescent="0.25">
      <c r="A66">
        <v>10101</v>
      </c>
      <c r="B66" s="2" t="s">
        <v>92</v>
      </c>
      <c r="C66" s="2" t="s">
        <v>92</v>
      </c>
      <c r="D66" s="2" t="s">
        <v>93</v>
      </c>
      <c r="E66" s="4">
        <v>0</v>
      </c>
    </row>
    <row r="67" spans="1:5" x14ac:dyDescent="0.25">
      <c r="A67">
        <v>40301</v>
      </c>
      <c r="B67" s="2" t="s">
        <v>205</v>
      </c>
      <c r="C67" s="2" t="s">
        <v>222</v>
      </c>
      <c r="D67" s="2" t="s">
        <v>223</v>
      </c>
      <c r="E67" s="4">
        <v>0</v>
      </c>
    </row>
    <row r="68" spans="1:5" x14ac:dyDescent="0.25">
      <c r="A68">
        <v>40401</v>
      </c>
      <c r="B68" s="2" t="s">
        <v>205</v>
      </c>
      <c r="C68" s="2" t="s">
        <v>231</v>
      </c>
      <c r="D68" s="2" t="s">
        <v>232</v>
      </c>
      <c r="E68" s="4">
        <v>0</v>
      </c>
    </row>
    <row r="69" spans="1:5" x14ac:dyDescent="0.25">
      <c r="A69">
        <v>90403</v>
      </c>
      <c r="B69" s="2" t="s">
        <v>508</v>
      </c>
      <c r="C69" s="2" t="s">
        <v>425</v>
      </c>
      <c r="D69" s="2" t="s">
        <v>535</v>
      </c>
      <c r="E69" s="4"/>
    </row>
    <row r="70" spans="1:5" x14ac:dyDescent="0.25">
      <c r="A70">
        <v>41002</v>
      </c>
      <c r="B70" s="2" t="s">
        <v>205</v>
      </c>
      <c r="C70" s="2" t="s">
        <v>275</v>
      </c>
      <c r="D70" s="2" t="s">
        <v>277</v>
      </c>
      <c r="E70" s="4"/>
    </row>
    <row r="71" spans="1:5" x14ac:dyDescent="0.25">
      <c r="A71">
        <v>80602</v>
      </c>
      <c r="B71" s="2" t="s">
        <v>451</v>
      </c>
      <c r="C71" s="2" t="s">
        <v>467</v>
      </c>
      <c r="D71" s="2" t="s">
        <v>469</v>
      </c>
      <c r="E71" s="4"/>
    </row>
    <row r="72" spans="1:5" x14ac:dyDescent="0.25">
      <c r="A72">
        <v>80602</v>
      </c>
      <c r="B72" s="2" t="s">
        <v>451</v>
      </c>
      <c r="C72" s="2" t="s">
        <v>467</v>
      </c>
      <c r="D72" s="2" t="s">
        <v>469</v>
      </c>
      <c r="E72" s="4"/>
    </row>
    <row r="73" spans="1:5" x14ac:dyDescent="0.25">
      <c r="A73">
        <v>30103</v>
      </c>
      <c r="B73" s="2" t="s">
        <v>164</v>
      </c>
      <c r="C73" s="2" t="s">
        <v>164</v>
      </c>
      <c r="D73" s="2" t="s">
        <v>167</v>
      </c>
      <c r="E73" s="4">
        <v>1</v>
      </c>
    </row>
    <row r="74" spans="1:5" x14ac:dyDescent="0.25">
      <c r="A74">
        <v>130403</v>
      </c>
      <c r="B74" s="2" t="s">
        <v>732</v>
      </c>
      <c r="C74" s="2" t="s">
        <v>753</v>
      </c>
      <c r="D74" s="2" t="s">
        <v>756</v>
      </c>
      <c r="E74" s="4"/>
    </row>
    <row r="75" spans="1:5" ht="24" x14ac:dyDescent="0.25">
      <c r="A75">
        <v>120501</v>
      </c>
      <c r="B75" s="2" t="s">
        <v>608</v>
      </c>
      <c r="C75" s="2" t="s">
        <v>645</v>
      </c>
      <c r="D75" s="2" t="s">
        <v>646</v>
      </c>
      <c r="E75" s="4"/>
    </row>
    <row r="76" spans="1:5" x14ac:dyDescent="0.25">
      <c r="A76">
        <v>40503</v>
      </c>
      <c r="B76" s="2" t="s">
        <v>205</v>
      </c>
      <c r="C76" s="2" t="s">
        <v>237</v>
      </c>
      <c r="D76" s="2" t="s">
        <v>237</v>
      </c>
      <c r="E76" s="4">
        <v>1</v>
      </c>
    </row>
    <row r="77" spans="1:5" ht="24" x14ac:dyDescent="0.25">
      <c r="A77">
        <v>120802</v>
      </c>
      <c r="B77" s="2" t="s">
        <v>608</v>
      </c>
      <c r="C77" s="2" t="s">
        <v>720</v>
      </c>
      <c r="D77" s="2" t="s">
        <v>722</v>
      </c>
      <c r="E77" s="4">
        <v>0</v>
      </c>
    </row>
    <row r="78" spans="1:5" x14ac:dyDescent="0.25">
      <c r="A78">
        <v>130107</v>
      </c>
      <c r="B78" s="2" t="s">
        <v>732</v>
      </c>
      <c r="C78" s="2" t="s">
        <v>733</v>
      </c>
      <c r="D78" s="2" t="s">
        <v>739</v>
      </c>
      <c r="E78" s="4">
        <v>2</v>
      </c>
    </row>
    <row r="79" spans="1:5" x14ac:dyDescent="0.25">
      <c r="A79">
        <v>130107</v>
      </c>
      <c r="B79" s="2" t="s">
        <v>732</v>
      </c>
      <c r="C79" s="2" t="s">
        <v>733</v>
      </c>
      <c r="D79" s="2" t="s">
        <v>739</v>
      </c>
      <c r="E79" s="4">
        <v>2</v>
      </c>
    </row>
    <row r="80" spans="1:5" x14ac:dyDescent="0.25">
      <c r="A80">
        <v>20210</v>
      </c>
      <c r="B80" s="2" t="s">
        <v>116</v>
      </c>
      <c r="C80" s="2" t="s">
        <v>123</v>
      </c>
      <c r="D80" s="2" t="s">
        <v>133</v>
      </c>
      <c r="E80" s="4">
        <v>0</v>
      </c>
    </row>
    <row r="81" spans="1:5" x14ac:dyDescent="0.25">
      <c r="A81">
        <v>20202</v>
      </c>
      <c r="B81" s="2" t="s">
        <v>116</v>
      </c>
      <c r="C81" s="2" t="s">
        <v>123</v>
      </c>
      <c r="D81" s="2" t="s">
        <v>125</v>
      </c>
      <c r="E81" s="4">
        <v>0</v>
      </c>
    </row>
    <row r="82" spans="1:5" x14ac:dyDescent="0.25">
      <c r="A82">
        <v>60502</v>
      </c>
      <c r="B82" s="2" t="s">
        <v>321</v>
      </c>
      <c r="C82" s="2" t="s">
        <v>352</v>
      </c>
      <c r="D82" s="2" t="s">
        <v>125</v>
      </c>
      <c r="E82" s="4"/>
    </row>
    <row r="83" spans="1:5" x14ac:dyDescent="0.25">
      <c r="A83">
        <v>130404</v>
      </c>
      <c r="B83" s="2" t="s">
        <v>732</v>
      </c>
      <c r="C83" s="2" t="s">
        <v>753</v>
      </c>
      <c r="D83" s="2" t="s">
        <v>125</v>
      </c>
      <c r="E83" s="4"/>
    </row>
    <row r="84" spans="1:5" x14ac:dyDescent="0.25">
      <c r="A84">
        <v>30402</v>
      </c>
      <c r="B84" s="2" t="s">
        <v>164</v>
      </c>
      <c r="C84" s="2" t="s">
        <v>192</v>
      </c>
      <c r="D84" s="2" t="s">
        <v>194</v>
      </c>
      <c r="E84" s="4"/>
    </row>
    <row r="85" spans="1:5" x14ac:dyDescent="0.25">
      <c r="A85">
        <v>80814</v>
      </c>
      <c r="B85" s="2" t="s">
        <v>451</v>
      </c>
      <c r="C85" s="2" t="s">
        <v>451</v>
      </c>
      <c r="D85" s="2" t="s">
        <v>482</v>
      </c>
      <c r="E85" s="4">
        <v>0</v>
      </c>
    </row>
    <row r="86" spans="1:5" x14ac:dyDescent="0.25">
      <c r="A86">
        <v>80815</v>
      </c>
      <c r="B86" s="2" t="s">
        <v>451</v>
      </c>
      <c r="C86" s="2" t="s">
        <v>451</v>
      </c>
      <c r="D86" s="2" t="s">
        <v>482</v>
      </c>
      <c r="E86" s="4">
        <v>0</v>
      </c>
    </row>
    <row r="87" spans="1:5" x14ac:dyDescent="0.25">
      <c r="A87">
        <v>130302</v>
      </c>
      <c r="B87" s="2" t="s">
        <v>732</v>
      </c>
      <c r="C87" s="2" t="s">
        <v>741</v>
      </c>
      <c r="D87" s="2" t="s">
        <v>743</v>
      </c>
      <c r="E87" s="4">
        <v>0</v>
      </c>
    </row>
    <row r="88" spans="1:5" ht="24" x14ac:dyDescent="0.25">
      <c r="A88">
        <v>120610</v>
      </c>
      <c r="B88" s="2" t="s">
        <v>608</v>
      </c>
      <c r="C88" s="2" t="s">
        <v>655</v>
      </c>
      <c r="D88" s="2" t="s">
        <v>718</v>
      </c>
      <c r="E88" s="4"/>
    </row>
    <row r="89" spans="1:5" x14ac:dyDescent="0.25">
      <c r="A89">
        <v>40402</v>
      </c>
      <c r="B89" s="2" t="s">
        <v>205</v>
      </c>
      <c r="C89" s="2" t="s">
        <v>231</v>
      </c>
      <c r="D89" s="2" t="s">
        <v>233</v>
      </c>
      <c r="E89" s="4"/>
    </row>
    <row r="90" spans="1:5" x14ac:dyDescent="0.25">
      <c r="A90">
        <v>91103</v>
      </c>
      <c r="B90" s="2" t="s">
        <v>508</v>
      </c>
      <c r="C90" s="2" t="s">
        <v>583</v>
      </c>
      <c r="D90" s="2" t="s">
        <v>585</v>
      </c>
      <c r="E90" s="4">
        <v>10</v>
      </c>
    </row>
    <row r="91" spans="1:5" x14ac:dyDescent="0.25">
      <c r="A91">
        <v>90201</v>
      </c>
      <c r="B91" s="2" t="s">
        <v>508</v>
      </c>
      <c r="C91" s="2" t="s">
        <v>515</v>
      </c>
      <c r="D91" s="2" t="s">
        <v>516</v>
      </c>
      <c r="E91" s="4"/>
    </row>
    <row r="92" spans="1:5" x14ac:dyDescent="0.25">
      <c r="A92">
        <v>90902</v>
      </c>
      <c r="B92" s="2" t="s">
        <v>508</v>
      </c>
      <c r="C92" s="2" t="s">
        <v>564</v>
      </c>
      <c r="D92" s="2" t="s">
        <v>566</v>
      </c>
      <c r="E92" s="4"/>
    </row>
    <row r="93" spans="1:5" ht="24" x14ac:dyDescent="0.25">
      <c r="A93">
        <v>120103</v>
      </c>
      <c r="B93" s="2" t="s">
        <v>608</v>
      </c>
      <c r="C93" s="2" t="s">
        <v>609</v>
      </c>
      <c r="D93" s="2" t="s">
        <v>612</v>
      </c>
      <c r="E93" s="4"/>
    </row>
    <row r="94" spans="1:5" x14ac:dyDescent="0.25">
      <c r="A94">
        <v>70710</v>
      </c>
      <c r="B94" s="2" t="s">
        <v>374</v>
      </c>
      <c r="C94" s="2" t="s">
        <v>439</v>
      </c>
      <c r="D94" s="2" t="s">
        <v>449</v>
      </c>
      <c r="E94" s="4"/>
    </row>
    <row r="95" spans="1:5" x14ac:dyDescent="0.25">
      <c r="A95">
        <v>50102</v>
      </c>
      <c r="B95" s="2" t="s">
        <v>301</v>
      </c>
      <c r="C95" s="2" t="s">
        <v>302</v>
      </c>
      <c r="D95" s="2" t="s">
        <v>311</v>
      </c>
      <c r="E95" s="4"/>
    </row>
    <row r="96" spans="1:5" x14ac:dyDescent="0.25">
      <c r="A96">
        <v>50102</v>
      </c>
      <c r="B96" s="2" t="s">
        <v>301</v>
      </c>
      <c r="C96" s="2" t="s">
        <v>302</v>
      </c>
      <c r="D96" s="2" t="s">
        <v>311</v>
      </c>
      <c r="E96" s="4"/>
    </row>
    <row r="97" spans="1:5" x14ac:dyDescent="0.25">
      <c r="A97">
        <v>130303</v>
      </c>
      <c r="B97" s="2" t="s">
        <v>732</v>
      </c>
      <c r="C97" s="2" t="s">
        <v>741</v>
      </c>
      <c r="D97" s="2" t="s">
        <v>744</v>
      </c>
      <c r="E97" s="4">
        <v>0</v>
      </c>
    </row>
    <row r="98" spans="1:5" x14ac:dyDescent="0.25">
      <c r="A98">
        <v>70703</v>
      </c>
      <c r="B98" s="2" t="s">
        <v>374</v>
      </c>
      <c r="C98" s="2" t="s">
        <v>439</v>
      </c>
      <c r="D98" s="2" t="s">
        <v>442</v>
      </c>
      <c r="E98" s="4"/>
    </row>
    <row r="99" spans="1:5" x14ac:dyDescent="0.25">
      <c r="A99">
        <v>41003</v>
      </c>
      <c r="B99" s="2" t="s">
        <v>205</v>
      </c>
      <c r="C99" s="2" t="s">
        <v>275</v>
      </c>
      <c r="D99" s="2" t="s">
        <v>278</v>
      </c>
      <c r="E99" s="4">
        <v>0</v>
      </c>
    </row>
    <row r="100" spans="1:5" x14ac:dyDescent="0.25">
      <c r="A100">
        <v>20602</v>
      </c>
      <c r="B100" s="2" t="s">
        <v>116</v>
      </c>
      <c r="C100" s="2" t="s">
        <v>154</v>
      </c>
      <c r="D100" s="2" t="s">
        <v>156</v>
      </c>
      <c r="E100" s="4">
        <v>0</v>
      </c>
    </row>
    <row r="101" spans="1:5" ht="24" x14ac:dyDescent="0.25">
      <c r="A101">
        <v>120708</v>
      </c>
      <c r="B101" s="2" t="s">
        <v>608</v>
      </c>
      <c r="C101" s="2" t="s">
        <v>660</v>
      </c>
      <c r="D101" s="2" t="s">
        <v>156</v>
      </c>
      <c r="E101" s="4">
        <v>0</v>
      </c>
    </row>
    <row r="102" spans="1:5" x14ac:dyDescent="0.25">
      <c r="A102">
        <v>90301</v>
      </c>
      <c r="B102" s="2" t="s">
        <v>508</v>
      </c>
      <c r="C102" s="2" t="s">
        <v>526</v>
      </c>
      <c r="D102" s="2" t="s">
        <v>527</v>
      </c>
      <c r="E102" s="4">
        <v>0</v>
      </c>
    </row>
    <row r="103" spans="1:5" x14ac:dyDescent="0.25">
      <c r="A103">
        <v>80502</v>
      </c>
      <c r="B103" s="2" t="s">
        <v>451</v>
      </c>
      <c r="C103" s="2" t="s">
        <v>330</v>
      </c>
      <c r="D103" s="2" t="s">
        <v>460</v>
      </c>
      <c r="E103" s="4">
        <v>0</v>
      </c>
    </row>
    <row r="104" spans="1:5" x14ac:dyDescent="0.25">
      <c r="A104">
        <v>40108</v>
      </c>
      <c r="B104" s="2" t="s">
        <v>205</v>
      </c>
      <c r="C104" s="2" t="s">
        <v>206</v>
      </c>
      <c r="D104" s="2" t="s">
        <v>214</v>
      </c>
      <c r="E104" s="4"/>
    </row>
    <row r="105" spans="1:5" x14ac:dyDescent="0.25">
      <c r="A105">
        <v>91007</v>
      </c>
      <c r="B105" s="2" t="s">
        <v>508</v>
      </c>
      <c r="C105" s="2" t="s">
        <v>573</v>
      </c>
      <c r="D105" s="2" t="s">
        <v>579</v>
      </c>
      <c r="E105" s="4">
        <v>0</v>
      </c>
    </row>
    <row r="106" spans="1:5" x14ac:dyDescent="0.25">
      <c r="A106">
        <v>20402</v>
      </c>
      <c r="B106" s="2" t="s">
        <v>116</v>
      </c>
      <c r="C106" s="2" t="s">
        <v>141</v>
      </c>
      <c r="D106" s="2" t="s">
        <v>143</v>
      </c>
      <c r="E106" s="4"/>
    </row>
    <row r="107" spans="1:5" x14ac:dyDescent="0.25">
      <c r="A107">
        <v>130301</v>
      </c>
      <c r="B107" s="2" t="s">
        <v>732</v>
      </c>
      <c r="C107" s="2" t="s">
        <v>741</v>
      </c>
      <c r="D107" s="2" t="s">
        <v>742</v>
      </c>
      <c r="E107" s="4">
        <v>1</v>
      </c>
    </row>
    <row r="108" spans="1:5" x14ac:dyDescent="0.25">
      <c r="A108">
        <v>91009</v>
      </c>
      <c r="B108" s="2" t="s">
        <v>508</v>
      </c>
      <c r="C108" s="2" t="s">
        <v>573</v>
      </c>
      <c r="D108" s="2" t="s">
        <v>580</v>
      </c>
      <c r="E108" s="4">
        <v>0</v>
      </c>
    </row>
    <row r="109" spans="1:5" ht="24" x14ac:dyDescent="0.25">
      <c r="A109">
        <v>120202</v>
      </c>
      <c r="B109" s="2" t="s">
        <v>608</v>
      </c>
      <c r="C109" s="2" t="s">
        <v>618</v>
      </c>
      <c r="D109" s="2" t="s">
        <v>620</v>
      </c>
      <c r="E109" s="4"/>
    </row>
    <row r="110" spans="1:5" x14ac:dyDescent="0.25">
      <c r="A110">
        <v>30104</v>
      </c>
      <c r="B110" s="2" t="s">
        <v>164</v>
      </c>
      <c r="C110" s="2" t="s">
        <v>164</v>
      </c>
      <c r="D110" s="2" t="s">
        <v>168</v>
      </c>
      <c r="E110" s="4">
        <v>2</v>
      </c>
    </row>
    <row r="111" spans="1:5" x14ac:dyDescent="0.25">
      <c r="A111">
        <v>91104</v>
      </c>
      <c r="B111" s="2" t="s">
        <v>508</v>
      </c>
      <c r="C111" s="2" t="s">
        <v>583</v>
      </c>
      <c r="D111" s="2" t="s">
        <v>586</v>
      </c>
      <c r="E111" s="4"/>
    </row>
    <row r="112" spans="1:5" x14ac:dyDescent="0.25">
      <c r="A112">
        <v>90705</v>
      </c>
      <c r="B112" s="2" t="s">
        <v>508</v>
      </c>
      <c r="C112" s="2" t="s">
        <v>556</v>
      </c>
      <c r="D112" s="2" t="s">
        <v>559</v>
      </c>
      <c r="E112" s="4"/>
    </row>
    <row r="113" spans="1:5" x14ac:dyDescent="0.25">
      <c r="A113">
        <v>10103</v>
      </c>
      <c r="B113" s="2" t="s">
        <v>92</v>
      </c>
      <c r="C113" s="2" t="s">
        <v>92</v>
      </c>
      <c r="D113" s="2" t="s">
        <v>95</v>
      </c>
      <c r="E113" s="4"/>
    </row>
    <row r="114" spans="1:5" x14ac:dyDescent="0.25">
      <c r="A114">
        <v>90606</v>
      </c>
      <c r="B114" s="2" t="s">
        <v>508</v>
      </c>
      <c r="C114" s="2" t="s">
        <v>548</v>
      </c>
      <c r="D114" s="2" t="s">
        <v>553</v>
      </c>
      <c r="E114" s="4"/>
    </row>
    <row r="115" spans="1:5" x14ac:dyDescent="0.25">
      <c r="A115">
        <v>130304</v>
      </c>
      <c r="B115" s="2" t="s">
        <v>732</v>
      </c>
      <c r="C115" s="2" t="s">
        <v>741</v>
      </c>
      <c r="D115" s="2" t="s">
        <v>752</v>
      </c>
      <c r="E115" s="4">
        <v>0</v>
      </c>
    </row>
    <row r="116" spans="1:5" ht="24" x14ac:dyDescent="0.25">
      <c r="A116">
        <v>120104</v>
      </c>
      <c r="B116" s="2" t="s">
        <v>608</v>
      </c>
      <c r="C116" s="2" t="s">
        <v>609</v>
      </c>
      <c r="D116" s="2" t="s">
        <v>613</v>
      </c>
      <c r="E116" s="4">
        <v>0</v>
      </c>
    </row>
    <row r="117" spans="1:5" ht="24" x14ac:dyDescent="0.25">
      <c r="A117">
        <v>120304</v>
      </c>
      <c r="B117" s="2" t="s">
        <v>608</v>
      </c>
      <c r="C117" s="2" t="s">
        <v>627</v>
      </c>
      <c r="D117" s="2" t="s">
        <v>631</v>
      </c>
      <c r="E117" s="4">
        <v>0</v>
      </c>
    </row>
    <row r="118" spans="1:5" x14ac:dyDescent="0.25">
      <c r="A118">
        <v>90502</v>
      </c>
      <c r="B118" s="2" t="s">
        <v>508</v>
      </c>
      <c r="C118" s="2" t="s">
        <v>426</v>
      </c>
      <c r="D118" s="2" t="s">
        <v>539</v>
      </c>
      <c r="E118" s="4"/>
    </row>
    <row r="119" spans="1:5" ht="24" x14ac:dyDescent="0.25">
      <c r="A119">
        <v>120105</v>
      </c>
      <c r="B119" s="2" t="s">
        <v>608</v>
      </c>
      <c r="C119" s="2" t="s">
        <v>609</v>
      </c>
      <c r="D119" s="2" t="s">
        <v>614</v>
      </c>
      <c r="E119" s="4"/>
    </row>
    <row r="120" spans="1:5" ht="24" x14ac:dyDescent="0.25">
      <c r="A120">
        <v>120401</v>
      </c>
      <c r="B120" s="2" t="s">
        <v>608</v>
      </c>
      <c r="C120" s="2" t="s">
        <v>639</v>
      </c>
      <c r="D120" s="2" t="s">
        <v>640</v>
      </c>
      <c r="E120" s="4"/>
    </row>
    <row r="121" spans="1:5" x14ac:dyDescent="0.25">
      <c r="A121">
        <v>60402</v>
      </c>
      <c r="B121" s="2" t="s">
        <v>321</v>
      </c>
      <c r="C121" s="2" t="s">
        <v>345</v>
      </c>
      <c r="D121" s="2" t="s">
        <v>347</v>
      </c>
      <c r="E121" s="4"/>
    </row>
    <row r="122" spans="1:5" ht="24" x14ac:dyDescent="0.25">
      <c r="A122">
        <v>120504</v>
      </c>
      <c r="B122" s="2" t="s">
        <v>608</v>
      </c>
      <c r="C122" s="2" t="s">
        <v>645</v>
      </c>
      <c r="D122" s="2" t="s">
        <v>649</v>
      </c>
      <c r="E122" s="4"/>
    </row>
    <row r="123" spans="1:5" x14ac:dyDescent="0.25">
      <c r="A123">
        <v>90302</v>
      </c>
      <c r="B123" s="2" t="s">
        <v>508</v>
      </c>
      <c r="C123" s="2" t="s">
        <v>526</v>
      </c>
      <c r="D123" s="2" t="s">
        <v>528</v>
      </c>
      <c r="E123" s="4"/>
    </row>
    <row r="124" spans="1:5" ht="24" x14ac:dyDescent="0.25">
      <c r="A124">
        <v>120305</v>
      </c>
      <c r="B124" s="2" t="s">
        <v>608</v>
      </c>
      <c r="C124" s="2" t="s">
        <v>627</v>
      </c>
      <c r="D124" s="2" t="s">
        <v>632</v>
      </c>
      <c r="E124" s="4"/>
    </row>
    <row r="125" spans="1:5" x14ac:dyDescent="0.25">
      <c r="A125">
        <v>41402</v>
      </c>
      <c r="B125" s="2" t="s">
        <v>205</v>
      </c>
      <c r="C125" s="2" t="s">
        <v>689</v>
      </c>
      <c r="D125" s="2" t="s">
        <v>691</v>
      </c>
      <c r="E125" s="4"/>
    </row>
    <row r="126" spans="1:5" x14ac:dyDescent="0.25">
      <c r="A126">
        <v>130108</v>
      </c>
      <c r="B126" s="2" t="s">
        <v>732</v>
      </c>
      <c r="C126" s="2" t="s">
        <v>733</v>
      </c>
      <c r="D126" s="2" t="s">
        <v>740</v>
      </c>
      <c r="E126" s="4">
        <v>2</v>
      </c>
    </row>
    <row r="127" spans="1:5" x14ac:dyDescent="0.25">
      <c r="A127">
        <v>41303</v>
      </c>
      <c r="B127" s="2" t="s">
        <v>205</v>
      </c>
      <c r="C127" s="2" t="s">
        <v>292</v>
      </c>
      <c r="D127" s="2" t="s">
        <v>295</v>
      </c>
      <c r="E127" s="4"/>
    </row>
    <row r="128" spans="1:5" x14ac:dyDescent="0.25">
      <c r="A128">
        <v>130401</v>
      </c>
      <c r="B128" s="2" t="s">
        <v>732</v>
      </c>
      <c r="C128" s="2" t="s">
        <v>753</v>
      </c>
      <c r="D128" s="2" t="s">
        <v>754</v>
      </c>
      <c r="E128" s="4">
        <v>0</v>
      </c>
    </row>
    <row r="129" spans="1:5" x14ac:dyDescent="0.25">
      <c r="A129">
        <v>10201</v>
      </c>
      <c r="B129" s="2" t="s">
        <v>92</v>
      </c>
      <c r="C129" s="2" t="s">
        <v>100</v>
      </c>
      <c r="D129" s="2" t="s">
        <v>101</v>
      </c>
      <c r="E129" s="4">
        <v>0</v>
      </c>
    </row>
    <row r="130" spans="1:5" x14ac:dyDescent="0.25">
      <c r="A130">
        <v>50103</v>
      </c>
      <c r="B130" s="2" t="s">
        <v>301</v>
      </c>
      <c r="C130" s="2" t="s">
        <v>302</v>
      </c>
      <c r="D130" s="2" t="s">
        <v>302</v>
      </c>
      <c r="E130" s="4"/>
    </row>
    <row r="131" spans="1:5" x14ac:dyDescent="0.25">
      <c r="A131">
        <v>50103</v>
      </c>
      <c r="B131" s="2" t="s">
        <v>301</v>
      </c>
      <c r="C131" s="2" t="s">
        <v>302</v>
      </c>
      <c r="D131" s="2" t="s">
        <v>302</v>
      </c>
      <c r="E131" s="4"/>
    </row>
    <row r="132" spans="1:5" x14ac:dyDescent="0.25">
      <c r="A132">
        <v>80506</v>
      </c>
      <c r="B132" s="2" t="s">
        <v>451</v>
      </c>
      <c r="C132" s="2" t="s">
        <v>330</v>
      </c>
      <c r="D132" s="2" t="s">
        <v>463</v>
      </c>
      <c r="E132" s="4"/>
    </row>
    <row r="133" spans="1:5" x14ac:dyDescent="0.25">
      <c r="A133">
        <v>60202</v>
      </c>
      <c r="B133" s="2" t="s">
        <v>321</v>
      </c>
      <c r="C133" s="2" t="s">
        <v>328</v>
      </c>
      <c r="D133" s="2" t="s">
        <v>330</v>
      </c>
      <c r="E133" s="4"/>
    </row>
    <row r="134" spans="1:5" x14ac:dyDescent="0.25">
      <c r="A134">
        <v>80501</v>
      </c>
      <c r="B134" s="2" t="s">
        <v>451</v>
      </c>
      <c r="C134" s="2" t="s">
        <v>330</v>
      </c>
      <c r="D134" s="2" t="s">
        <v>459</v>
      </c>
      <c r="E134" s="4">
        <v>4</v>
      </c>
    </row>
    <row r="135" spans="1:5" x14ac:dyDescent="0.25">
      <c r="A135">
        <v>130405</v>
      </c>
      <c r="B135" s="2" t="s">
        <v>732</v>
      </c>
      <c r="C135" s="2" t="s">
        <v>753</v>
      </c>
      <c r="D135" s="2" t="s">
        <v>757</v>
      </c>
      <c r="E135" s="4"/>
    </row>
    <row r="136" spans="1:5" ht="24" x14ac:dyDescent="0.25">
      <c r="A136">
        <v>120301</v>
      </c>
      <c r="B136" s="2" t="s">
        <v>608</v>
      </c>
      <c r="C136" s="2" t="s">
        <v>627</v>
      </c>
      <c r="D136" s="2" t="s">
        <v>628</v>
      </c>
      <c r="E136" s="4">
        <v>1</v>
      </c>
    </row>
    <row r="137" spans="1:5" x14ac:dyDescent="0.25">
      <c r="A137">
        <v>20604</v>
      </c>
      <c r="B137" s="2" t="s">
        <v>116</v>
      </c>
      <c r="C137" s="2" t="s">
        <v>154</v>
      </c>
      <c r="D137" s="2" t="s">
        <v>157</v>
      </c>
      <c r="E137" s="4">
        <v>0</v>
      </c>
    </row>
    <row r="138" spans="1:5" x14ac:dyDescent="0.25">
      <c r="A138">
        <v>80815</v>
      </c>
      <c r="B138" s="2" t="s">
        <v>451</v>
      </c>
      <c r="C138" s="2" t="s">
        <v>451</v>
      </c>
      <c r="D138" s="2" t="s">
        <v>483</v>
      </c>
      <c r="E138" s="4">
        <v>7</v>
      </c>
    </row>
    <row r="139" spans="1:5" x14ac:dyDescent="0.25">
      <c r="A139">
        <v>80601</v>
      </c>
      <c r="B139" s="2" t="s">
        <v>451</v>
      </c>
      <c r="C139" s="2" t="s">
        <v>467</v>
      </c>
      <c r="D139" s="2" t="s">
        <v>468</v>
      </c>
      <c r="E139" s="4"/>
    </row>
    <row r="140" spans="1:5" x14ac:dyDescent="0.25">
      <c r="A140">
        <v>40604</v>
      </c>
      <c r="B140" s="2" t="s">
        <v>205</v>
      </c>
      <c r="C140" s="2" t="s">
        <v>247</v>
      </c>
      <c r="D140" s="2" t="s">
        <v>205</v>
      </c>
      <c r="E140" s="4"/>
    </row>
    <row r="141" spans="1:5" x14ac:dyDescent="0.25">
      <c r="A141">
        <v>10301</v>
      </c>
      <c r="B141" s="2" t="s">
        <v>92</v>
      </c>
      <c r="C141" s="2" t="s">
        <v>109</v>
      </c>
      <c r="D141" s="2" t="s">
        <v>110</v>
      </c>
      <c r="E141" s="4">
        <v>0</v>
      </c>
    </row>
    <row r="142" spans="1:5" x14ac:dyDescent="0.25">
      <c r="A142">
        <v>90203</v>
      </c>
      <c r="B142" s="2" t="s">
        <v>508</v>
      </c>
      <c r="C142" s="2" t="s">
        <v>515</v>
      </c>
      <c r="D142" s="2" t="s">
        <v>518</v>
      </c>
      <c r="E142" s="4"/>
    </row>
    <row r="143" spans="1:5" x14ac:dyDescent="0.25">
      <c r="A143">
        <v>60101</v>
      </c>
      <c r="B143" s="2" t="s">
        <v>321</v>
      </c>
      <c r="C143" s="2" t="s">
        <v>322</v>
      </c>
      <c r="D143" s="2" t="s">
        <v>323</v>
      </c>
      <c r="E143" s="4">
        <v>0</v>
      </c>
    </row>
    <row r="144" spans="1:5" x14ac:dyDescent="0.25">
      <c r="A144">
        <v>60203</v>
      </c>
      <c r="B144" s="2" t="s">
        <v>321</v>
      </c>
      <c r="C144" s="2" t="s">
        <v>328</v>
      </c>
      <c r="D144" s="2" t="s">
        <v>331</v>
      </c>
      <c r="E144" s="4"/>
    </row>
    <row r="145" spans="1:5" x14ac:dyDescent="0.25">
      <c r="A145">
        <v>70405</v>
      </c>
      <c r="B145" s="2" t="s">
        <v>374</v>
      </c>
      <c r="C145" s="2" t="s">
        <v>418</v>
      </c>
      <c r="D145" s="2" t="s">
        <v>423</v>
      </c>
      <c r="E145" s="4"/>
    </row>
    <row r="146" spans="1:5" x14ac:dyDescent="0.25">
      <c r="A146">
        <v>60702</v>
      </c>
      <c r="B146" s="2" t="s">
        <v>321</v>
      </c>
      <c r="C146" s="2" t="s">
        <v>368</v>
      </c>
      <c r="D146" s="2" t="s">
        <v>370</v>
      </c>
      <c r="E146" s="4"/>
    </row>
    <row r="147" spans="1:5" x14ac:dyDescent="0.25">
      <c r="A147">
        <v>130305</v>
      </c>
      <c r="B147" s="2" t="s">
        <v>732</v>
      </c>
      <c r="C147" s="2" t="s">
        <v>741</v>
      </c>
      <c r="D147" s="2" t="s">
        <v>746</v>
      </c>
      <c r="E147" s="4"/>
    </row>
    <row r="148" spans="1:5" x14ac:dyDescent="0.25">
      <c r="A148">
        <v>130306</v>
      </c>
      <c r="B148" s="2" t="s">
        <v>732</v>
      </c>
      <c r="C148" s="2" t="s">
        <v>741</v>
      </c>
      <c r="D148" s="2" t="s">
        <v>747</v>
      </c>
      <c r="E148" s="4"/>
    </row>
    <row r="149" spans="1:5" x14ac:dyDescent="0.25">
      <c r="A149">
        <v>30105</v>
      </c>
      <c r="B149" s="2" t="s">
        <v>164</v>
      </c>
      <c r="C149" s="2" t="s">
        <v>164</v>
      </c>
      <c r="D149" s="2" t="s">
        <v>169</v>
      </c>
      <c r="E149" s="4"/>
    </row>
    <row r="150" spans="1:5" ht="24" x14ac:dyDescent="0.25">
      <c r="A150">
        <v>110101</v>
      </c>
      <c r="B150" s="2" t="s">
        <v>601</v>
      </c>
      <c r="C150" s="2" t="s">
        <v>602</v>
      </c>
      <c r="D150" s="2" t="s">
        <v>603</v>
      </c>
      <c r="E150" s="4">
        <v>0</v>
      </c>
    </row>
    <row r="151" spans="1:5" x14ac:dyDescent="0.25">
      <c r="A151">
        <v>40603</v>
      </c>
      <c r="B151" s="2" t="s">
        <v>205</v>
      </c>
      <c r="C151" s="2" t="s">
        <v>247</v>
      </c>
      <c r="D151" s="2" t="s">
        <v>250</v>
      </c>
      <c r="E151" s="4"/>
    </row>
    <row r="152" spans="1:5" x14ac:dyDescent="0.25">
      <c r="A152">
        <v>10208</v>
      </c>
      <c r="B152" s="2" t="s">
        <v>92</v>
      </c>
      <c r="C152" s="2" t="s">
        <v>100</v>
      </c>
      <c r="D152" s="2" t="s">
        <v>106</v>
      </c>
      <c r="E152" s="4"/>
    </row>
    <row r="153" spans="1:5" x14ac:dyDescent="0.25">
      <c r="A153">
        <v>20603</v>
      </c>
      <c r="B153" s="2" t="s">
        <v>116</v>
      </c>
      <c r="C153" s="2" t="s">
        <v>154</v>
      </c>
      <c r="D153" s="2" t="s">
        <v>116</v>
      </c>
      <c r="E153" s="4"/>
    </row>
    <row r="154" spans="1:5" x14ac:dyDescent="0.25">
      <c r="A154">
        <v>30302</v>
      </c>
      <c r="B154" s="2" t="s">
        <v>164</v>
      </c>
      <c r="C154" s="2" t="s">
        <v>187</v>
      </c>
      <c r="D154" s="2" t="s">
        <v>189</v>
      </c>
      <c r="E154" s="4"/>
    </row>
    <row r="155" spans="1:5" ht="24" x14ac:dyDescent="0.25">
      <c r="A155">
        <v>80507</v>
      </c>
      <c r="B155" s="2" t="s">
        <v>451</v>
      </c>
      <c r="C155" s="2" t="s">
        <v>330</v>
      </c>
      <c r="D155" s="2" t="s">
        <v>465</v>
      </c>
      <c r="E155" s="4">
        <v>0</v>
      </c>
    </row>
    <row r="156" spans="1:5" ht="24" x14ac:dyDescent="0.25">
      <c r="A156">
        <v>80507</v>
      </c>
      <c r="B156" s="2" t="s">
        <v>451</v>
      </c>
      <c r="C156" s="2" t="s">
        <v>330</v>
      </c>
      <c r="D156" s="2" t="s">
        <v>465</v>
      </c>
      <c r="E156" s="4">
        <v>0</v>
      </c>
    </row>
    <row r="157" spans="1:5" x14ac:dyDescent="0.25">
      <c r="A157">
        <v>50209</v>
      </c>
      <c r="B157" s="2" t="s">
        <v>301</v>
      </c>
      <c r="C157" s="2" t="s">
        <v>312</v>
      </c>
      <c r="D157" s="2" t="s">
        <v>320</v>
      </c>
      <c r="E157" s="4">
        <v>2</v>
      </c>
    </row>
    <row r="158" spans="1:5" x14ac:dyDescent="0.25">
      <c r="A158">
        <v>40303</v>
      </c>
      <c r="B158" s="2" t="s">
        <v>205</v>
      </c>
      <c r="C158" s="2" t="s">
        <v>222</v>
      </c>
      <c r="D158" s="2" t="s">
        <v>225</v>
      </c>
      <c r="E158" s="4"/>
    </row>
    <row r="159" spans="1:5" x14ac:dyDescent="0.25">
      <c r="A159">
        <v>70404</v>
      </c>
      <c r="B159" s="2" t="s">
        <v>374</v>
      </c>
      <c r="C159" s="2" t="s">
        <v>418</v>
      </c>
      <c r="D159" s="2" t="s">
        <v>422</v>
      </c>
      <c r="E159" s="4"/>
    </row>
    <row r="160" spans="1:5" x14ac:dyDescent="0.25">
      <c r="A160">
        <v>90503</v>
      </c>
      <c r="B160" s="2" t="s">
        <v>508</v>
      </c>
      <c r="C160" s="2" t="s">
        <v>426</v>
      </c>
      <c r="D160" s="2" t="s">
        <v>422</v>
      </c>
      <c r="E160" s="4"/>
    </row>
    <row r="161" spans="1:5" x14ac:dyDescent="0.25">
      <c r="A161">
        <v>90802</v>
      </c>
      <c r="B161" s="2" t="s">
        <v>508</v>
      </c>
      <c r="C161" s="2" t="s">
        <v>479</v>
      </c>
      <c r="D161" s="2" t="s">
        <v>561</v>
      </c>
      <c r="E161" s="4"/>
    </row>
    <row r="162" spans="1:5" x14ac:dyDescent="0.25">
      <c r="A162">
        <v>90607</v>
      </c>
      <c r="B162" s="2" t="s">
        <v>508</v>
      </c>
      <c r="C162" s="2" t="s">
        <v>548</v>
      </c>
      <c r="D162" s="2" t="s">
        <v>554</v>
      </c>
      <c r="E162" s="4">
        <v>0</v>
      </c>
    </row>
    <row r="163" spans="1:5" x14ac:dyDescent="0.25">
      <c r="A163">
        <v>30107</v>
      </c>
      <c r="B163" s="2" t="s">
        <v>164</v>
      </c>
      <c r="C163" s="2" t="s">
        <v>164</v>
      </c>
      <c r="D163" s="2" t="s">
        <v>170</v>
      </c>
      <c r="E163" s="4">
        <v>4</v>
      </c>
    </row>
    <row r="164" spans="1:5" x14ac:dyDescent="0.25">
      <c r="A164">
        <v>30107</v>
      </c>
      <c r="B164" s="2" t="s">
        <v>164</v>
      </c>
      <c r="C164" s="2" t="s">
        <v>164</v>
      </c>
      <c r="D164" s="2" t="s">
        <v>170</v>
      </c>
      <c r="E164" s="4">
        <v>4</v>
      </c>
    </row>
    <row r="165" spans="1:5" x14ac:dyDescent="0.25">
      <c r="A165">
        <v>30115</v>
      </c>
      <c r="B165" s="2" t="s">
        <v>164</v>
      </c>
      <c r="C165" s="2" t="s">
        <v>164</v>
      </c>
      <c r="D165" s="2" t="s">
        <v>680</v>
      </c>
      <c r="E165" s="4"/>
    </row>
    <row r="166" spans="1:5" x14ac:dyDescent="0.25">
      <c r="A166">
        <v>30502</v>
      </c>
      <c r="B166" s="2" t="s">
        <v>164</v>
      </c>
      <c r="C166" s="2" t="s">
        <v>198</v>
      </c>
      <c r="D166" s="2" t="s">
        <v>200</v>
      </c>
      <c r="E166" s="4"/>
    </row>
    <row r="167" spans="1:5" x14ac:dyDescent="0.25">
      <c r="A167">
        <v>50314</v>
      </c>
      <c r="B167" s="2" t="s">
        <v>301</v>
      </c>
      <c r="C167" s="2" t="s">
        <v>564</v>
      </c>
      <c r="D167" s="2" t="s">
        <v>697</v>
      </c>
      <c r="E167" s="4"/>
    </row>
    <row r="168" spans="1:5" x14ac:dyDescent="0.25">
      <c r="A168">
        <v>50314</v>
      </c>
      <c r="B168" s="2" t="s">
        <v>301</v>
      </c>
      <c r="C168" s="2" t="s">
        <v>564</v>
      </c>
      <c r="D168" s="2" t="s">
        <v>697</v>
      </c>
      <c r="E168" s="4"/>
    </row>
    <row r="169" spans="1:5" x14ac:dyDescent="0.25">
      <c r="A169">
        <v>41403</v>
      </c>
      <c r="B169" s="2" t="s">
        <v>205</v>
      </c>
      <c r="C169" s="2" t="s">
        <v>689</v>
      </c>
      <c r="D169" s="2" t="s">
        <v>692</v>
      </c>
      <c r="E169" s="4"/>
    </row>
    <row r="170" spans="1:5" x14ac:dyDescent="0.25">
      <c r="A170">
        <v>80805</v>
      </c>
      <c r="B170" s="2" t="s">
        <v>451</v>
      </c>
      <c r="C170" s="2" t="s">
        <v>451</v>
      </c>
      <c r="D170" s="2" t="s">
        <v>476</v>
      </c>
      <c r="E170" s="4">
        <v>9</v>
      </c>
    </row>
    <row r="171" spans="1:5" x14ac:dyDescent="0.25">
      <c r="A171">
        <v>40601</v>
      </c>
      <c r="B171" s="2" t="s">
        <v>205</v>
      </c>
      <c r="C171" s="2" t="s">
        <v>247</v>
      </c>
      <c r="D171" s="2" t="s">
        <v>248</v>
      </c>
      <c r="E171" s="4">
        <v>0</v>
      </c>
    </row>
    <row r="172" spans="1:5" x14ac:dyDescent="0.25">
      <c r="A172">
        <v>40611</v>
      </c>
      <c r="B172" s="2" t="s">
        <v>205</v>
      </c>
      <c r="C172" s="2" t="s">
        <v>247</v>
      </c>
      <c r="D172" s="2" t="s">
        <v>687</v>
      </c>
      <c r="E172" s="4"/>
    </row>
    <row r="173" spans="1:5" x14ac:dyDescent="0.25">
      <c r="A173">
        <v>40612</v>
      </c>
      <c r="B173" s="2" t="s">
        <v>205</v>
      </c>
      <c r="C173" s="2" t="s">
        <v>247</v>
      </c>
      <c r="D173" s="2" t="s">
        <v>688</v>
      </c>
      <c r="E173" s="4"/>
    </row>
    <row r="174" spans="1:5" ht="24" x14ac:dyDescent="0.25">
      <c r="A174">
        <v>120313</v>
      </c>
      <c r="B174" s="2" t="s">
        <v>608</v>
      </c>
      <c r="C174" s="2" t="s">
        <v>627</v>
      </c>
      <c r="D174" s="2" t="s">
        <v>712</v>
      </c>
      <c r="E174" s="4"/>
    </row>
    <row r="175" spans="1:5" ht="24" x14ac:dyDescent="0.25">
      <c r="A175">
        <v>120315</v>
      </c>
      <c r="B175" s="2" t="s">
        <v>608</v>
      </c>
      <c r="C175" s="2" t="s">
        <v>627</v>
      </c>
      <c r="D175" s="2" t="s">
        <v>713</v>
      </c>
      <c r="E175" s="4"/>
    </row>
    <row r="176" spans="1:5" x14ac:dyDescent="0.25">
      <c r="A176">
        <v>40102</v>
      </c>
      <c r="B176" s="2" t="s">
        <v>205</v>
      </c>
      <c r="C176" s="2" t="s">
        <v>206</v>
      </c>
      <c r="D176" s="2" t="s">
        <v>208</v>
      </c>
      <c r="E176" s="4">
        <v>0</v>
      </c>
    </row>
    <row r="177" spans="1:5" x14ac:dyDescent="0.25">
      <c r="A177">
        <v>40701</v>
      </c>
      <c r="B177" s="2" t="s">
        <v>205</v>
      </c>
      <c r="C177" s="2" t="s">
        <v>255</v>
      </c>
      <c r="D177" s="2" t="s">
        <v>256</v>
      </c>
      <c r="E177" s="4">
        <v>0</v>
      </c>
    </row>
    <row r="178" spans="1:5" x14ac:dyDescent="0.25">
      <c r="A178">
        <v>41007</v>
      </c>
      <c r="B178" s="2" t="s">
        <v>205</v>
      </c>
      <c r="C178" s="2" t="s">
        <v>275</v>
      </c>
      <c r="D178" s="2" t="s">
        <v>282</v>
      </c>
      <c r="E178" s="4"/>
    </row>
    <row r="179" spans="1:5" x14ac:dyDescent="0.25">
      <c r="A179">
        <v>80826</v>
      </c>
      <c r="B179" s="2" t="s">
        <v>451</v>
      </c>
      <c r="C179" s="2" t="s">
        <v>451</v>
      </c>
      <c r="D179" s="2" t="s">
        <v>703</v>
      </c>
      <c r="E179" s="4">
        <v>5</v>
      </c>
    </row>
    <row r="180" spans="1:5" x14ac:dyDescent="0.25">
      <c r="A180">
        <v>40702</v>
      </c>
      <c r="B180" s="2" t="s">
        <v>205</v>
      </c>
      <c r="C180" s="2" t="s">
        <v>255</v>
      </c>
      <c r="D180" s="2" t="s">
        <v>257</v>
      </c>
      <c r="E180" s="4"/>
    </row>
    <row r="181" spans="1:5" x14ac:dyDescent="0.25">
      <c r="A181">
        <v>91010</v>
      </c>
      <c r="B181" s="2" t="s">
        <v>508</v>
      </c>
      <c r="C181" s="2" t="s">
        <v>573</v>
      </c>
      <c r="D181" s="2" t="s">
        <v>581</v>
      </c>
      <c r="E181" s="4">
        <v>0</v>
      </c>
    </row>
    <row r="182" spans="1:5" x14ac:dyDescent="0.25">
      <c r="A182">
        <v>90903</v>
      </c>
      <c r="B182" s="2" t="s">
        <v>508</v>
      </c>
      <c r="C182" s="2" t="s">
        <v>564</v>
      </c>
      <c r="D182" s="2" t="s">
        <v>567</v>
      </c>
      <c r="E182" s="4"/>
    </row>
    <row r="183" spans="1:5" x14ac:dyDescent="0.25">
      <c r="A183">
        <v>130705</v>
      </c>
      <c r="B183" s="2" t="s">
        <v>732</v>
      </c>
      <c r="C183" s="2" t="s">
        <v>763</v>
      </c>
      <c r="D183" s="2" t="s">
        <v>768</v>
      </c>
      <c r="E183" s="4">
        <v>0</v>
      </c>
    </row>
    <row r="184" spans="1:5" x14ac:dyDescent="0.25">
      <c r="A184">
        <v>130705</v>
      </c>
      <c r="B184" s="2" t="s">
        <v>732</v>
      </c>
      <c r="C184" s="2" t="s">
        <v>763</v>
      </c>
      <c r="D184" s="2" t="s">
        <v>768</v>
      </c>
      <c r="E184" s="4">
        <v>0</v>
      </c>
    </row>
    <row r="185" spans="1:5" x14ac:dyDescent="0.25">
      <c r="A185">
        <v>90307</v>
      </c>
      <c r="B185" s="2" t="s">
        <v>508</v>
      </c>
      <c r="C185" s="2" t="s">
        <v>526</v>
      </c>
      <c r="D185" s="2" t="s">
        <v>532</v>
      </c>
      <c r="E185" s="4"/>
    </row>
    <row r="186" spans="1:5" ht="24" x14ac:dyDescent="0.25">
      <c r="A186">
        <v>120505</v>
      </c>
      <c r="B186" s="2" t="s">
        <v>608</v>
      </c>
      <c r="C186" s="2" t="s">
        <v>645</v>
      </c>
      <c r="D186" s="2" t="s">
        <v>650</v>
      </c>
      <c r="E186" s="4"/>
    </row>
    <row r="187" spans="1:5" x14ac:dyDescent="0.25">
      <c r="A187">
        <v>60604</v>
      </c>
      <c r="B187" s="2" t="s">
        <v>321</v>
      </c>
      <c r="C187" s="2" t="s">
        <v>359</v>
      </c>
      <c r="D187" s="2" t="s">
        <v>363</v>
      </c>
      <c r="E187" s="4">
        <v>0</v>
      </c>
    </row>
    <row r="188" spans="1:5" x14ac:dyDescent="0.25">
      <c r="A188">
        <v>90102</v>
      </c>
      <c r="B188" s="2" t="s">
        <v>508</v>
      </c>
      <c r="C188" s="2" t="s">
        <v>509</v>
      </c>
      <c r="D188" s="2" t="s">
        <v>511</v>
      </c>
      <c r="E188" s="4"/>
    </row>
    <row r="189" spans="1:5" x14ac:dyDescent="0.25">
      <c r="A189">
        <v>70704</v>
      </c>
      <c r="B189" s="2" t="s">
        <v>374</v>
      </c>
      <c r="C189" s="2" t="s">
        <v>439</v>
      </c>
      <c r="D189" s="2" t="s">
        <v>443</v>
      </c>
      <c r="E189" s="4"/>
    </row>
    <row r="190" spans="1:5" x14ac:dyDescent="0.25">
      <c r="A190">
        <v>40513</v>
      </c>
      <c r="B190" s="2" t="s">
        <v>205</v>
      </c>
      <c r="C190" s="2" t="s">
        <v>237</v>
      </c>
      <c r="D190" s="2" t="s">
        <v>246</v>
      </c>
      <c r="E190" s="4"/>
    </row>
    <row r="191" spans="1:5" x14ac:dyDescent="0.25">
      <c r="A191">
        <v>70705</v>
      </c>
      <c r="B191" s="2" t="s">
        <v>374</v>
      </c>
      <c r="C191" s="2" t="s">
        <v>439</v>
      </c>
      <c r="D191" s="2" t="s">
        <v>444</v>
      </c>
      <c r="E191" s="4"/>
    </row>
    <row r="192" spans="1:5" x14ac:dyDescent="0.25">
      <c r="A192">
        <v>91203</v>
      </c>
      <c r="B192" s="2" t="s">
        <v>508</v>
      </c>
      <c r="C192" s="2" t="s">
        <v>591</v>
      </c>
      <c r="D192" s="2" t="s">
        <v>444</v>
      </c>
      <c r="E192" s="4"/>
    </row>
    <row r="193" spans="1:5" x14ac:dyDescent="0.25">
      <c r="A193">
        <v>130307</v>
      </c>
      <c r="B193" s="2" t="s">
        <v>732</v>
      </c>
      <c r="C193" s="2" t="s">
        <v>741</v>
      </c>
      <c r="D193" s="2" t="s">
        <v>444</v>
      </c>
      <c r="E193" s="4"/>
    </row>
    <row r="194" spans="1:5" x14ac:dyDescent="0.25">
      <c r="A194">
        <v>60303</v>
      </c>
      <c r="B194" s="2" t="s">
        <v>321</v>
      </c>
      <c r="C194" s="2" t="s">
        <v>336</v>
      </c>
      <c r="D194" s="2" t="s">
        <v>339</v>
      </c>
      <c r="E194" s="4"/>
    </row>
    <row r="195" spans="1:5" x14ac:dyDescent="0.25">
      <c r="A195">
        <v>70602</v>
      </c>
      <c r="B195" s="2" t="s">
        <v>374</v>
      </c>
      <c r="C195" s="2" t="s">
        <v>121</v>
      </c>
      <c r="D195" s="2" t="s">
        <v>436</v>
      </c>
      <c r="E195" s="4"/>
    </row>
    <row r="196" spans="1:5" x14ac:dyDescent="0.25">
      <c r="A196">
        <v>20403</v>
      </c>
      <c r="B196" s="2" t="s">
        <v>116</v>
      </c>
      <c r="C196" s="2" t="s">
        <v>141</v>
      </c>
      <c r="D196" s="2" t="s">
        <v>144</v>
      </c>
      <c r="E196" s="4"/>
    </row>
    <row r="197" spans="1:5" x14ac:dyDescent="0.25">
      <c r="A197">
        <v>60302</v>
      </c>
      <c r="B197" s="2" t="s">
        <v>321</v>
      </c>
      <c r="C197" s="2" t="s">
        <v>336</v>
      </c>
      <c r="D197" s="2" t="s">
        <v>338</v>
      </c>
      <c r="E197" s="4"/>
    </row>
    <row r="198" spans="1:5" x14ac:dyDescent="0.25">
      <c r="A198">
        <v>70204</v>
      </c>
      <c r="B198" s="2" t="s">
        <v>374</v>
      </c>
      <c r="C198" s="2" t="s">
        <v>105</v>
      </c>
      <c r="D198" s="2" t="s">
        <v>389</v>
      </c>
      <c r="E198" s="4"/>
    </row>
    <row r="199" spans="1:5" x14ac:dyDescent="0.25">
      <c r="A199">
        <v>60304</v>
      </c>
      <c r="B199" s="2" t="s">
        <v>321</v>
      </c>
      <c r="C199" s="2" t="s">
        <v>336</v>
      </c>
      <c r="D199" s="2" t="s">
        <v>340</v>
      </c>
      <c r="E199" s="4"/>
    </row>
    <row r="200" spans="1:5" x14ac:dyDescent="0.25">
      <c r="A200">
        <v>70406</v>
      </c>
      <c r="B200" s="2" t="s">
        <v>374</v>
      </c>
      <c r="C200" s="2" t="s">
        <v>418</v>
      </c>
      <c r="D200" s="2" t="s">
        <v>340</v>
      </c>
      <c r="E200" s="4"/>
    </row>
    <row r="201" spans="1:5" x14ac:dyDescent="0.25">
      <c r="A201">
        <v>20203</v>
      </c>
      <c r="B201" s="2" t="s">
        <v>116</v>
      </c>
      <c r="C201" s="2" t="s">
        <v>123</v>
      </c>
      <c r="D201" s="2" t="s">
        <v>126</v>
      </c>
      <c r="E201" s="4">
        <v>0</v>
      </c>
    </row>
    <row r="202" spans="1:5" x14ac:dyDescent="0.25">
      <c r="A202">
        <v>80802</v>
      </c>
      <c r="B202" s="2" t="s">
        <v>451</v>
      </c>
      <c r="C202" s="2" t="s">
        <v>451</v>
      </c>
      <c r="D202" s="2" t="s">
        <v>474</v>
      </c>
      <c r="E202" s="4">
        <v>5</v>
      </c>
    </row>
    <row r="203" spans="1:5" x14ac:dyDescent="0.25">
      <c r="A203">
        <v>60606</v>
      </c>
      <c r="B203" s="2" t="s">
        <v>321</v>
      </c>
      <c r="C203" s="2" t="s">
        <v>359</v>
      </c>
      <c r="D203" s="2" t="s">
        <v>365</v>
      </c>
      <c r="E203" s="4">
        <v>0</v>
      </c>
    </row>
    <row r="204" spans="1:5" x14ac:dyDescent="0.25">
      <c r="A204">
        <v>70205</v>
      </c>
      <c r="B204" s="2" t="s">
        <v>374</v>
      </c>
      <c r="C204" s="2" t="s">
        <v>105</v>
      </c>
      <c r="D204" s="2" t="s">
        <v>390</v>
      </c>
      <c r="E204" s="4"/>
    </row>
    <row r="205" spans="1:5" x14ac:dyDescent="0.25">
      <c r="A205">
        <v>90204</v>
      </c>
      <c r="B205" s="2" t="s">
        <v>508</v>
      </c>
      <c r="C205" s="2" t="s">
        <v>515</v>
      </c>
      <c r="D205" s="2" t="s">
        <v>519</v>
      </c>
      <c r="E205" s="4"/>
    </row>
    <row r="206" spans="1:5" x14ac:dyDescent="0.25">
      <c r="A206">
        <v>20605</v>
      </c>
      <c r="B206" s="2" t="s">
        <v>116</v>
      </c>
      <c r="C206" s="2" t="s">
        <v>154</v>
      </c>
      <c r="D206" s="2" t="s">
        <v>158</v>
      </c>
      <c r="E206" s="4">
        <v>0</v>
      </c>
    </row>
    <row r="207" spans="1:5" x14ac:dyDescent="0.25">
      <c r="A207">
        <v>130706</v>
      </c>
      <c r="B207" s="2" t="s">
        <v>732</v>
      </c>
      <c r="C207" s="2" t="s">
        <v>763</v>
      </c>
      <c r="D207" s="2" t="s">
        <v>158</v>
      </c>
      <c r="E207" s="4">
        <v>0</v>
      </c>
    </row>
    <row r="208" spans="1:5" x14ac:dyDescent="0.25">
      <c r="A208">
        <v>20502</v>
      </c>
      <c r="B208" s="2" t="s">
        <v>116</v>
      </c>
      <c r="C208" s="2" t="s">
        <v>148</v>
      </c>
      <c r="D208" s="2" t="s">
        <v>150</v>
      </c>
      <c r="E208" s="4"/>
    </row>
    <row r="209" spans="1:5" x14ac:dyDescent="0.25">
      <c r="A209">
        <v>70706</v>
      </c>
      <c r="B209" s="2" t="s">
        <v>374</v>
      </c>
      <c r="C209" s="2" t="s">
        <v>439</v>
      </c>
      <c r="D209" s="2" t="s">
        <v>445</v>
      </c>
      <c r="E209" s="4"/>
    </row>
    <row r="210" spans="1:5" x14ac:dyDescent="0.25">
      <c r="A210">
        <v>20102</v>
      </c>
      <c r="B210" s="2" t="s">
        <v>116</v>
      </c>
      <c r="C210" s="2" t="s">
        <v>117</v>
      </c>
      <c r="D210" s="2" t="s">
        <v>119</v>
      </c>
      <c r="E210" s="4"/>
    </row>
    <row r="211" spans="1:5" x14ac:dyDescent="0.25">
      <c r="A211">
        <v>41304</v>
      </c>
      <c r="B211" s="2" t="s">
        <v>205</v>
      </c>
      <c r="C211" s="2" t="s">
        <v>292</v>
      </c>
      <c r="D211" s="2" t="s">
        <v>119</v>
      </c>
      <c r="E211" s="4"/>
    </row>
    <row r="212" spans="1:5" x14ac:dyDescent="0.25">
      <c r="A212">
        <v>90904</v>
      </c>
      <c r="B212" s="2" t="s">
        <v>508</v>
      </c>
      <c r="C212" s="2" t="s">
        <v>564</v>
      </c>
      <c r="D212" s="2" t="s">
        <v>568</v>
      </c>
      <c r="E212" s="4"/>
    </row>
    <row r="213" spans="1:5" x14ac:dyDescent="0.25">
      <c r="A213">
        <v>70315</v>
      </c>
      <c r="B213" s="2" t="s">
        <v>374</v>
      </c>
      <c r="C213" s="2" t="s">
        <v>374</v>
      </c>
      <c r="D213" s="2" t="s">
        <v>702</v>
      </c>
      <c r="E213" s="4">
        <v>0</v>
      </c>
    </row>
    <row r="214" spans="1:5" x14ac:dyDescent="0.25">
      <c r="A214">
        <v>10206</v>
      </c>
      <c r="B214" s="2" t="s">
        <v>92</v>
      </c>
      <c r="C214" s="2" t="s">
        <v>100</v>
      </c>
      <c r="D214" s="2" t="s">
        <v>104</v>
      </c>
      <c r="E214" s="4">
        <v>0</v>
      </c>
    </row>
    <row r="215" spans="1:5" x14ac:dyDescent="0.25">
      <c r="A215">
        <v>70102</v>
      </c>
      <c r="B215" s="2" t="s">
        <v>374</v>
      </c>
      <c r="C215" s="2" t="s">
        <v>375</v>
      </c>
      <c r="D215" s="2" t="s">
        <v>377</v>
      </c>
      <c r="E215" s="4"/>
    </row>
    <row r="216" spans="1:5" x14ac:dyDescent="0.25">
      <c r="A216">
        <v>130902</v>
      </c>
      <c r="B216" s="2" t="s">
        <v>732</v>
      </c>
      <c r="C216" s="2" t="s">
        <v>252</v>
      </c>
      <c r="D216" s="2" t="s">
        <v>780</v>
      </c>
      <c r="E216" s="4"/>
    </row>
    <row r="217" spans="1:5" x14ac:dyDescent="0.25">
      <c r="A217">
        <v>30203</v>
      </c>
      <c r="B217" s="2" t="s">
        <v>164</v>
      </c>
      <c r="C217" s="2" t="s">
        <v>179</v>
      </c>
      <c r="D217" s="2" t="s">
        <v>182</v>
      </c>
      <c r="E217" s="4"/>
    </row>
    <row r="218" spans="1:5" x14ac:dyDescent="0.25">
      <c r="A218">
        <v>30303</v>
      </c>
      <c r="B218" s="2" t="s">
        <v>164</v>
      </c>
      <c r="C218" s="2" t="s">
        <v>187</v>
      </c>
      <c r="D218" s="2" t="s">
        <v>190</v>
      </c>
      <c r="E218" s="4"/>
    </row>
    <row r="219" spans="1:5" x14ac:dyDescent="0.25">
      <c r="A219">
        <v>70302</v>
      </c>
      <c r="B219" s="2" t="s">
        <v>374</v>
      </c>
      <c r="C219" s="2" t="s">
        <v>374</v>
      </c>
      <c r="D219" s="2" t="s">
        <v>190</v>
      </c>
      <c r="E219" s="4"/>
    </row>
    <row r="220" spans="1:5" x14ac:dyDescent="0.25">
      <c r="A220">
        <v>20302</v>
      </c>
      <c r="B220" s="2" t="s">
        <v>116</v>
      </c>
      <c r="C220" s="2" t="s">
        <v>134</v>
      </c>
      <c r="D220" s="2" t="s">
        <v>136</v>
      </c>
      <c r="E220" s="4">
        <v>0</v>
      </c>
    </row>
    <row r="221" spans="1:5" x14ac:dyDescent="0.25">
      <c r="A221">
        <v>70109</v>
      </c>
      <c r="B221" s="2" t="s">
        <v>374</v>
      </c>
      <c r="C221" s="2" t="s">
        <v>375</v>
      </c>
      <c r="D221" s="2" t="s">
        <v>384</v>
      </c>
      <c r="E221" s="4"/>
    </row>
    <row r="222" spans="1:5" ht="24" x14ac:dyDescent="0.25">
      <c r="A222">
        <v>20108</v>
      </c>
      <c r="B222" s="2" t="s">
        <v>116</v>
      </c>
      <c r="C222" s="2" t="s">
        <v>117</v>
      </c>
      <c r="D222" s="2" t="s">
        <v>677</v>
      </c>
      <c r="E222" s="4"/>
    </row>
    <row r="223" spans="1:5" x14ac:dyDescent="0.25">
      <c r="A223">
        <v>90407</v>
      </c>
      <c r="B223" s="2" t="s">
        <v>508</v>
      </c>
      <c r="C223" s="2" t="s">
        <v>425</v>
      </c>
      <c r="D223" s="2" t="s">
        <v>704</v>
      </c>
      <c r="E223" s="4"/>
    </row>
    <row r="224" spans="1:5" x14ac:dyDescent="0.25">
      <c r="A224">
        <v>130903</v>
      </c>
      <c r="B224" s="2" t="s">
        <v>732</v>
      </c>
      <c r="C224" s="2" t="s">
        <v>252</v>
      </c>
      <c r="D224" s="2" t="s">
        <v>704</v>
      </c>
      <c r="E224" s="4">
        <v>0</v>
      </c>
    </row>
    <row r="225" spans="1:5" x14ac:dyDescent="0.25">
      <c r="A225">
        <v>130406</v>
      </c>
      <c r="B225" s="2" t="s">
        <v>732</v>
      </c>
      <c r="C225" s="2" t="s">
        <v>753</v>
      </c>
      <c r="D225" s="2" t="s">
        <v>758</v>
      </c>
      <c r="E225" s="4"/>
    </row>
    <row r="226" spans="1:5" x14ac:dyDescent="0.25">
      <c r="A226">
        <v>60704</v>
      </c>
      <c r="B226" s="2" t="s">
        <v>321</v>
      </c>
      <c r="C226" s="2" t="s">
        <v>368</v>
      </c>
      <c r="D226" s="2" t="s">
        <v>372</v>
      </c>
      <c r="E226" s="4"/>
    </row>
    <row r="227" spans="1:5" x14ac:dyDescent="0.25">
      <c r="A227">
        <v>80504</v>
      </c>
      <c r="B227" s="2" t="s">
        <v>451</v>
      </c>
      <c r="C227" s="2" t="s">
        <v>330</v>
      </c>
      <c r="D227" s="2" t="s">
        <v>461</v>
      </c>
      <c r="E227" s="4">
        <v>0</v>
      </c>
    </row>
    <row r="228" spans="1:5" x14ac:dyDescent="0.25">
      <c r="A228">
        <v>80504</v>
      </c>
      <c r="B228" s="2" t="s">
        <v>451</v>
      </c>
      <c r="C228" s="2" t="s">
        <v>330</v>
      </c>
      <c r="D228" s="2" t="s">
        <v>461</v>
      </c>
      <c r="E228" s="4">
        <v>0</v>
      </c>
    </row>
    <row r="229" spans="1:5" x14ac:dyDescent="0.25">
      <c r="A229">
        <v>70103</v>
      </c>
      <c r="B229" s="2" t="s">
        <v>374</v>
      </c>
      <c r="C229" s="2" t="s">
        <v>375</v>
      </c>
      <c r="D229" s="2" t="s">
        <v>378</v>
      </c>
      <c r="E229" s="4"/>
    </row>
    <row r="230" spans="1:5" x14ac:dyDescent="0.25">
      <c r="A230">
        <v>70206</v>
      </c>
      <c r="B230" s="2" t="s">
        <v>374</v>
      </c>
      <c r="C230" s="2" t="s">
        <v>105</v>
      </c>
      <c r="D230" s="2" t="s">
        <v>391</v>
      </c>
      <c r="E230" s="4"/>
    </row>
    <row r="231" spans="1:5" x14ac:dyDescent="0.25">
      <c r="A231">
        <v>91105</v>
      </c>
      <c r="B231" s="2" t="s">
        <v>508</v>
      </c>
      <c r="C231" s="2" t="s">
        <v>583</v>
      </c>
      <c r="D231" s="2" t="s">
        <v>587</v>
      </c>
      <c r="E231" s="4">
        <v>1</v>
      </c>
    </row>
    <row r="232" spans="1:5" x14ac:dyDescent="0.25">
      <c r="A232">
        <v>90504</v>
      </c>
      <c r="B232" s="2" t="s">
        <v>508</v>
      </c>
      <c r="C232" s="2" t="s">
        <v>426</v>
      </c>
      <c r="D232" s="2" t="s">
        <v>540</v>
      </c>
      <c r="E232" s="4"/>
    </row>
    <row r="233" spans="1:5" x14ac:dyDescent="0.25">
      <c r="A233">
        <v>70207</v>
      </c>
      <c r="B233" s="2" t="s">
        <v>374</v>
      </c>
      <c r="C233" s="2" t="s">
        <v>105</v>
      </c>
      <c r="D233" s="2" t="s">
        <v>392</v>
      </c>
      <c r="E233" s="4"/>
    </row>
    <row r="234" spans="1:5" x14ac:dyDescent="0.25">
      <c r="A234">
        <v>40902</v>
      </c>
      <c r="B234" s="2" t="s">
        <v>205</v>
      </c>
      <c r="C234" s="2" t="s">
        <v>269</v>
      </c>
      <c r="D234" s="2" t="s">
        <v>271</v>
      </c>
      <c r="E234" s="4"/>
    </row>
    <row r="235" spans="1:5" x14ac:dyDescent="0.25">
      <c r="A235">
        <v>60603</v>
      </c>
      <c r="B235" s="2" t="s">
        <v>321</v>
      </c>
      <c r="C235" s="2" t="s">
        <v>359</v>
      </c>
      <c r="D235" s="2" t="s">
        <v>362</v>
      </c>
      <c r="E235" s="4"/>
    </row>
    <row r="236" spans="1:5" x14ac:dyDescent="0.25">
      <c r="A236">
        <v>20503</v>
      </c>
      <c r="B236" s="2" t="s">
        <v>116</v>
      </c>
      <c r="C236" s="2" t="s">
        <v>148</v>
      </c>
      <c r="D236" s="2" t="s">
        <v>151</v>
      </c>
      <c r="E236" s="4"/>
    </row>
    <row r="237" spans="1:5" x14ac:dyDescent="0.25">
      <c r="A237">
        <v>90905</v>
      </c>
      <c r="B237" s="2" t="s">
        <v>508</v>
      </c>
      <c r="C237" s="2" t="s">
        <v>564</v>
      </c>
      <c r="D237" s="2" t="s">
        <v>569</v>
      </c>
      <c r="E237" s="4"/>
    </row>
    <row r="238" spans="1:5" ht="24" x14ac:dyDescent="0.25">
      <c r="A238">
        <v>120506</v>
      </c>
      <c r="B238" s="2" t="s">
        <v>608</v>
      </c>
      <c r="C238" s="2" t="s">
        <v>645</v>
      </c>
      <c r="D238" s="2" t="s">
        <v>651</v>
      </c>
      <c r="E238" s="4"/>
    </row>
    <row r="239" spans="1:5" x14ac:dyDescent="0.25">
      <c r="A239">
        <v>60605</v>
      </c>
      <c r="B239" s="2" t="s">
        <v>321</v>
      </c>
      <c r="C239" s="2" t="s">
        <v>359</v>
      </c>
      <c r="D239" s="2" t="s">
        <v>364</v>
      </c>
      <c r="E239" s="4"/>
    </row>
    <row r="240" spans="1:5" x14ac:dyDescent="0.25">
      <c r="A240">
        <v>70208</v>
      </c>
      <c r="B240" s="2" t="s">
        <v>374</v>
      </c>
      <c r="C240" s="2" t="s">
        <v>105</v>
      </c>
      <c r="D240" s="2" t="s">
        <v>364</v>
      </c>
      <c r="E240" s="4"/>
    </row>
    <row r="241" spans="1:5" ht="24" x14ac:dyDescent="0.25">
      <c r="A241">
        <v>120510</v>
      </c>
      <c r="B241" s="2" t="s">
        <v>608</v>
      </c>
      <c r="C241" s="2" t="s">
        <v>645</v>
      </c>
      <c r="D241" s="2" t="s">
        <v>716</v>
      </c>
      <c r="E241" s="4"/>
    </row>
    <row r="242" spans="1:5" x14ac:dyDescent="0.25">
      <c r="A242">
        <v>20504</v>
      </c>
      <c r="B242" s="2" t="s">
        <v>116</v>
      </c>
      <c r="C242" s="2" t="s">
        <v>148</v>
      </c>
      <c r="D242" s="2" t="s">
        <v>152</v>
      </c>
      <c r="E242" s="4"/>
    </row>
    <row r="243" spans="1:5" x14ac:dyDescent="0.25">
      <c r="A243">
        <v>90303</v>
      </c>
      <c r="B243" s="2" t="s">
        <v>508</v>
      </c>
      <c r="C243" s="2" t="s">
        <v>526</v>
      </c>
      <c r="D243" s="2" t="s">
        <v>529</v>
      </c>
      <c r="E243" s="4"/>
    </row>
    <row r="244" spans="1:5" ht="24" x14ac:dyDescent="0.25">
      <c r="A244">
        <v>120507</v>
      </c>
      <c r="B244" s="2" t="s">
        <v>608</v>
      </c>
      <c r="C244" s="2" t="s">
        <v>645</v>
      </c>
      <c r="D244" s="2" t="s">
        <v>652</v>
      </c>
      <c r="E244" s="4"/>
    </row>
    <row r="245" spans="1:5" ht="24" x14ac:dyDescent="0.25">
      <c r="A245">
        <v>120511</v>
      </c>
      <c r="B245" s="2" t="s">
        <v>608</v>
      </c>
      <c r="C245" s="2" t="s">
        <v>645</v>
      </c>
      <c r="D245" s="2" t="s">
        <v>717</v>
      </c>
      <c r="E245" s="4"/>
    </row>
    <row r="246" spans="1:5" x14ac:dyDescent="0.25">
      <c r="A246">
        <v>40903</v>
      </c>
      <c r="B246" s="2" t="s">
        <v>205</v>
      </c>
      <c r="C246" s="2" t="s">
        <v>269</v>
      </c>
      <c r="D246" s="2" t="s">
        <v>272</v>
      </c>
      <c r="E246" s="4"/>
    </row>
    <row r="247" spans="1:5" x14ac:dyDescent="0.25">
      <c r="A247">
        <v>20303</v>
      </c>
      <c r="B247" s="2" t="s">
        <v>116</v>
      </c>
      <c r="C247" s="2" t="s">
        <v>134</v>
      </c>
      <c r="D247" s="2" t="s">
        <v>137</v>
      </c>
      <c r="E247" s="4"/>
    </row>
    <row r="248" spans="1:5" x14ac:dyDescent="0.25">
      <c r="A248">
        <v>90205</v>
      </c>
      <c r="B248" s="2" t="s">
        <v>508</v>
      </c>
      <c r="C248" s="2" t="s">
        <v>515</v>
      </c>
      <c r="D248" s="2" t="s">
        <v>137</v>
      </c>
      <c r="E248" s="4"/>
    </row>
    <row r="249" spans="1:5" x14ac:dyDescent="0.25">
      <c r="A249">
        <v>90505</v>
      </c>
      <c r="B249" s="2" t="s">
        <v>508</v>
      </c>
      <c r="C249" s="2" t="s">
        <v>426</v>
      </c>
      <c r="D249" s="2" t="s">
        <v>541</v>
      </c>
      <c r="E249" s="4"/>
    </row>
    <row r="250" spans="1:5" x14ac:dyDescent="0.25">
      <c r="A250">
        <v>40904</v>
      </c>
      <c r="B250" s="2" t="s">
        <v>205</v>
      </c>
      <c r="C250" s="2" t="s">
        <v>269</v>
      </c>
      <c r="D250" s="2" t="s">
        <v>273</v>
      </c>
      <c r="E250" s="4"/>
    </row>
    <row r="251" spans="1:5" ht="24" x14ac:dyDescent="0.25">
      <c r="A251">
        <v>50201</v>
      </c>
      <c r="B251" s="2" t="s">
        <v>301</v>
      </c>
      <c r="C251" s="2" t="s">
        <v>312</v>
      </c>
      <c r="D251" s="2" t="s">
        <v>313</v>
      </c>
      <c r="E251" s="4"/>
    </row>
    <row r="252" spans="1:5" ht="24" x14ac:dyDescent="0.25">
      <c r="A252">
        <v>50201</v>
      </c>
      <c r="B252" s="2" t="s">
        <v>301</v>
      </c>
      <c r="C252" s="2" t="s">
        <v>312</v>
      </c>
      <c r="D252" s="2" t="s">
        <v>313</v>
      </c>
      <c r="E252" s="4"/>
    </row>
    <row r="253" spans="1:5" x14ac:dyDescent="0.25">
      <c r="A253">
        <v>20204</v>
      </c>
      <c r="B253" s="2" t="s">
        <v>116</v>
      </c>
      <c r="C253" s="2" t="s">
        <v>123</v>
      </c>
      <c r="D253" s="2" t="s">
        <v>127</v>
      </c>
      <c r="E253" s="4"/>
    </row>
    <row r="254" spans="1:5" x14ac:dyDescent="0.25">
      <c r="A254">
        <v>60703</v>
      </c>
      <c r="B254" s="2" t="s">
        <v>321</v>
      </c>
      <c r="C254" s="2" t="s">
        <v>368</v>
      </c>
      <c r="D254" s="2" t="s">
        <v>371</v>
      </c>
      <c r="E254" s="4"/>
    </row>
    <row r="255" spans="1:5" x14ac:dyDescent="0.25">
      <c r="A255">
        <v>90506</v>
      </c>
      <c r="B255" s="2" t="s">
        <v>508</v>
      </c>
      <c r="C255" s="2" t="s">
        <v>426</v>
      </c>
      <c r="D255" s="2" t="s">
        <v>371</v>
      </c>
      <c r="E255" s="4"/>
    </row>
    <row r="256" spans="1:5" x14ac:dyDescent="0.25">
      <c r="A256">
        <v>20103</v>
      </c>
      <c r="B256" s="2" t="s">
        <v>116</v>
      </c>
      <c r="C256" s="2" t="s">
        <v>117</v>
      </c>
      <c r="D256" s="2" t="s">
        <v>120</v>
      </c>
      <c r="E256" s="4">
        <v>0</v>
      </c>
    </row>
    <row r="257" spans="1:5" x14ac:dyDescent="0.25">
      <c r="A257">
        <v>10214</v>
      </c>
      <c r="B257" s="2" t="s">
        <v>92</v>
      </c>
      <c r="C257" s="2" t="s">
        <v>100</v>
      </c>
      <c r="D257" s="2" t="s">
        <v>665</v>
      </c>
      <c r="E257" s="4"/>
    </row>
    <row r="258" spans="1:5" x14ac:dyDescent="0.25">
      <c r="A258">
        <v>40103</v>
      </c>
      <c r="B258" s="2" t="s">
        <v>205</v>
      </c>
      <c r="C258" s="2" t="s">
        <v>206</v>
      </c>
      <c r="D258" s="2" t="s">
        <v>209</v>
      </c>
      <c r="E258" s="4">
        <v>0</v>
      </c>
    </row>
    <row r="259" spans="1:5" x14ac:dyDescent="0.25">
      <c r="A259">
        <v>10204</v>
      </c>
      <c r="B259" s="2" t="s">
        <v>92</v>
      </c>
      <c r="C259" s="2" t="s">
        <v>100</v>
      </c>
      <c r="D259" s="2" t="s">
        <v>103</v>
      </c>
      <c r="E259" s="4"/>
    </row>
    <row r="260" spans="1:5" x14ac:dyDescent="0.25">
      <c r="A260">
        <v>60406</v>
      </c>
      <c r="B260" s="2" t="s">
        <v>321</v>
      </c>
      <c r="C260" s="2" t="s">
        <v>345</v>
      </c>
      <c r="D260" s="2" t="s">
        <v>350</v>
      </c>
      <c r="E260" s="4"/>
    </row>
    <row r="261" spans="1:5" x14ac:dyDescent="0.25">
      <c r="A261">
        <v>60204</v>
      </c>
      <c r="B261" s="2" t="s">
        <v>321</v>
      </c>
      <c r="C261" s="2" t="s">
        <v>328</v>
      </c>
      <c r="D261" s="2" t="s">
        <v>332</v>
      </c>
      <c r="E261" s="4"/>
    </row>
    <row r="262" spans="1:5" x14ac:dyDescent="0.25">
      <c r="A262">
        <v>20205</v>
      </c>
      <c r="B262" s="2" t="s">
        <v>116</v>
      </c>
      <c r="C262" s="2" t="s">
        <v>123</v>
      </c>
      <c r="D262" s="2" t="s">
        <v>128</v>
      </c>
      <c r="E262" s="4">
        <v>0</v>
      </c>
    </row>
    <row r="263" spans="1:5" ht="24" x14ac:dyDescent="0.25">
      <c r="A263">
        <v>120106</v>
      </c>
      <c r="B263" s="2" t="s">
        <v>608</v>
      </c>
      <c r="C263" s="2" t="s">
        <v>609</v>
      </c>
      <c r="D263" s="2" t="s">
        <v>615</v>
      </c>
      <c r="E263" s="4"/>
    </row>
    <row r="264" spans="1:5" x14ac:dyDescent="0.25">
      <c r="A264">
        <v>60408</v>
      </c>
      <c r="B264" s="2" t="s">
        <v>321</v>
      </c>
      <c r="C264" s="2" t="s">
        <v>345</v>
      </c>
      <c r="D264" s="2" t="s">
        <v>701</v>
      </c>
      <c r="E264" s="4"/>
    </row>
    <row r="265" spans="1:5" x14ac:dyDescent="0.25">
      <c r="A265">
        <v>80823</v>
      </c>
      <c r="B265" s="2" t="s">
        <v>451</v>
      </c>
      <c r="C265" s="2" t="s">
        <v>451</v>
      </c>
      <c r="D265" s="2" t="s">
        <v>492</v>
      </c>
      <c r="E265" s="4">
        <v>6</v>
      </c>
    </row>
    <row r="266" spans="1:5" x14ac:dyDescent="0.25">
      <c r="A266">
        <v>30107</v>
      </c>
      <c r="B266" s="2" t="s">
        <v>164</v>
      </c>
      <c r="C266" s="2" t="s">
        <v>164</v>
      </c>
      <c r="D266" s="2" t="s">
        <v>178</v>
      </c>
      <c r="E266" s="4"/>
    </row>
    <row r="267" spans="1:5" x14ac:dyDescent="0.25">
      <c r="A267">
        <v>70407</v>
      </c>
      <c r="B267" s="2" t="s">
        <v>374</v>
      </c>
      <c r="C267" s="2" t="s">
        <v>418</v>
      </c>
      <c r="D267" s="2" t="s">
        <v>424</v>
      </c>
      <c r="E267" s="4"/>
    </row>
    <row r="268" spans="1:5" x14ac:dyDescent="0.25">
      <c r="A268">
        <v>130707</v>
      </c>
      <c r="B268" s="2" t="s">
        <v>732</v>
      </c>
      <c r="C268" s="2" t="s">
        <v>763</v>
      </c>
      <c r="D268" s="2" t="s">
        <v>769</v>
      </c>
      <c r="E268" s="4">
        <v>0</v>
      </c>
    </row>
    <row r="269" spans="1:5" x14ac:dyDescent="0.25">
      <c r="A269">
        <v>10216</v>
      </c>
      <c r="B269" s="2" t="s">
        <v>92</v>
      </c>
      <c r="C269" s="2" t="s">
        <v>100</v>
      </c>
      <c r="D269" s="2" t="s">
        <v>667</v>
      </c>
      <c r="E269" s="4">
        <v>0</v>
      </c>
    </row>
    <row r="270" spans="1:5" x14ac:dyDescent="0.25">
      <c r="A270">
        <v>10215</v>
      </c>
      <c r="B270" s="2" t="s">
        <v>92</v>
      </c>
      <c r="C270" s="2" t="s">
        <v>100</v>
      </c>
      <c r="D270" s="2" t="s">
        <v>666</v>
      </c>
      <c r="E270" s="4">
        <v>0</v>
      </c>
    </row>
    <row r="271" spans="1:5" x14ac:dyDescent="0.25">
      <c r="A271">
        <v>10217</v>
      </c>
      <c r="B271" s="2" t="s">
        <v>92</v>
      </c>
      <c r="C271" s="2" t="s">
        <v>100</v>
      </c>
      <c r="D271" s="2" t="s">
        <v>668</v>
      </c>
      <c r="E271" s="4">
        <v>0</v>
      </c>
    </row>
    <row r="272" spans="1:5" x14ac:dyDescent="0.25">
      <c r="A272">
        <v>70707</v>
      </c>
      <c r="B272" s="2" t="s">
        <v>374</v>
      </c>
      <c r="C272" s="2" t="s">
        <v>439</v>
      </c>
      <c r="D272" s="2" t="s">
        <v>446</v>
      </c>
      <c r="E272" s="4"/>
    </row>
    <row r="273" spans="1:5" x14ac:dyDescent="0.25">
      <c r="A273">
        <v>50104</v>
      </c>
      <c r="B273" s="2" t="s">
        <v>301</v>
      </c>
      <c r="C273" s="2" t="s">
        <v>302</v>
      </c>
      <c r="D273" s="2" t="s">
        <v>304</v>
      </c>
      <c r="E273" s="4"/>
    </row>
    <row r="274" spans="1:5" x14ac:dyDescent="0.25">
      <c r="A274">
        <v>90906</v>
      </c>
      <c r="B274" s="2" t="s">
        <v>508</v>
      </c>
      <c r="C274" s="2" t="s">
        <v>564</v>
      </c>
      <c r="D274" s="2" t="s">
        <v>570</v>
      </c>
      <c r="E274" s="4"/>
    </row>
    <row r="275" spans="1:5" x14ac:dyDescent="0.25">
      <c r="A275">
        <v>30304</v>
      </c>
      <c r="B275" s="2" t="s">
        <v>164</v>
      </c>
      <c r="C275" s="2" t="s">
        <v>187</v>
      </c>
      <c r="D275" s="2" t="s">
        <v>191</v>
      </c>
      <c r="E275" s="4"/>
    </row>
    <row r="276" spans="1:5" x14ac:dyDescent="0.25">
      <c r="A276">
        <v>90602</v>
      </c>
      <c r="B276" s="2" t="s">
        <v>508</v>
      </c>
      <c r="C276" s="2" t="s">
        <v>548</v>
      </c>
      <c r="D276" s="2" t="s">
        <v>550</v>
      </c>
      <c r="E276" s="4"/>
    </row>
    <row r="277" spans="1:5" x14ac:dyDescent="0.25">
      <c r="A277">
        <v>40505</v>
      </c>
      <c r="B277" s="2" t="s">
        <v>205</v>
      </c>
      <c r="C277" s="2" t="s">
        <v>237</v>
      </c>
      <c r="D277" s="2" t="s">
        <v>240</v>
      </c>
      <c r="E277" s="4"/>
    </row>
    <row r="278" spans="1:5" x14ac:dyDescent="0.25">
      <c r="A278">
        <v>80603</v>
      </c>
      <c r="B278" s="2" t="s">
        <v>451</v>
      </c>
      <c r="C278" s="2" t="s">
        <v>467</v>
      </c>
      <c r="D278" s="2" t="s">
        <v>470</v>
      </c>
      <c r="E278" s="4"/>
    </row>
    <row r="279" spans="1:5" x14ac:dyDescent="0.25">
      <c r="A279">
        <v>40304</v>
      </c>
      <c r="B279" s="2" t="s">
        <v>205</v>
      </c>
      <c r="C279" s="2" t="s">
        <v>222</v>
      </c>
      <c r="D279" s="2" t="s">
        <v>226</v>
      </c>
      <c r="E279" s="4"/>
    </row>
    <row r="280" spans="1:5" x14ac:dyDescent="0.25">
      <c r="A280">
        <v>10203</v>
      </c>
      <c r="B280" s="2" t="s">
        <v>92</v>
      </c>
      <c r="C280" s="2" t="s">
        <v>100</v>
      </c>
      <c r="D280" s="2" t="s">
        <v>102</v>
      </c>
      <c r="E280" s="4">
        <v>0</v>
      </c>
    </row>
    <row r="281" spans="1:5" x14ac:dyDescent="0.25">
      <c r="A281">
        <v>40605</v>
      </c>
      <c r="B281" s="2" t="s">
        <v>205</v>
      </c>
      <c r="C281" s="2" t="s">
        <v>247</v>
      </c>
      <c r="D281" s="2" t="s">
        <v>251</v>
      </c>
      <c r="E281" s="4"/>
    </row>
    <row r="282" spans="1:5" x14ac:dyDescent="0.25">
      <c r="A282">
        <v>130708</v>
      </c>
      <c r="B282" s="2" t="s">
        <v>732</v>
      </c>
      <c r="C282" s="2" t="s">
        <v>763</v>
      </c>
      <c r="D282" s="2" t="s">
        <v>770</v>
      </c>
      <c r="E282" s="4">
        <v>4</v>
      </c>
    </row>
    <row r="283" spans="1:5" x14ac:dyDescent="0.25">
      <c r="A283">
        <v>40801</v>
      </c>
      <c r="B283" s="2" t="s">
        <v>205</v>
      </c>
      <c r="C283" s="2" t="s">
        <v>264</v>
      </c>
      <c r="D283" s="2" t="s">
        <v>264</v>
      </c>
      <c r="E283" s="4">
        <v>2</v>
      </c>
    </row>
    <row r="284" spans="1:5" x14ac:dyDescent="0.25">
      <c r="A284">
        <v>70708</v>
      </c>
      <c r="B284" s="2" t="s">
        <v>374</v>
      </c>
      <c r="C284" s="2" t="s">
        <v>439</v>
      </c>
      <c r="D284" s="2" t="s">
        <v>447</v>
      </c>
      <c r="E284" s="4"/>
    </row>
    <row r="285" spans="1:5" x14ac:dyDescent="0.25">
      <c r="A285">
        <v>70101</v>
      </c>
      <c r="B285" s="2" t="s">
        <v>374</v>
      </c>
      <c r="C285" s="2" t="s">
        <v>375</v>
      </c>
      <c r="D285" s="2" t="s">
        <v>376</v>
      </c>
      <c r="E285" s="4"/>
    </row>
    <row r="286" spans="1:5" x14ac:dyDescent="0.25">
      <c r="A286">
        <v>70104</v>
      </c>
      <c r="B286" s="2" t="s">
        <v>374</v>
      </c>
      <c r="C286" s="2" t="s">
        <v>375</v>
      </c>
      <c r="D286" s="2" t="s">
        <v>379</v>
      </c>
      <c r="E286" s="4"/>
    </row>
    <row r="287" spans="1:5" x14ac:dyDescent="0.25">
      <c r="A287">
        <v>40104</v>
      </c>
      <c r="B287" s="2" t="s">
        <v>205</v>
      </c>
      <c r="C287" s="2" t="s">
        <v>206</v>
      </c>
      <c r="D287" s="2" t="s">
        <v>210</v>
      </c>
      <c r="E287" s="4"/>
    </row>
    <row r="288" spans="1:5" x14ac:dyDescent="0.25">
      <c r="A288">
        <v>91106</v>
      </c>
      <c r="B288" s="2" t="s">
        <v>508</v>
      </c>
      <c r="C288" s="2" t="s">
        <v>583</v>
      </c>
      <c r="D288" s="2" t="s">
        <v>210</v>
      </c>
      <c r="E288" s="4">
        <v>0</v>
      </c>
    </row>
    <row r="289" spans="1:5" x14ac:dyDescent="0.25">
      <c r="A289">
        <v>40305</v>
      </c>
      <c r="B289" s="2" t="s">
        <v>205</v>
      </c>
      <c r="C289" s="2" t="s">
        <v>222</v>
      </c>
      <c r="D289" s="2" t="s">
        <v>227</v>
      </c>
      <c r="E289" s="4"/>
    </row>
    <row r="290" spans="1:5" ht="24" x14ac:dyDescent="0.25">
      <c r="A290">
        <v>120508</v>
      </c>
      <c r="B290" s="2" t="s">
        <v>608</v>
      </c>
      <c r="C290" s="2" t="s">
        <v>645</v>
      </c>
      <c r="D290" s="2" t="s">
        <v>653</v>
      </c>
      <c r="E290" s="4"/>
    </row>
    <row r="291" spans="1:5" x14ac:dyDescent="0.25">
      <c r="A291">
        <v>130904</v>
      </c>
      <c r="B291" s="2" t="s">
        <v>732</v>
      </c>
      <c r="C291" s="2" t="s">
        <v>252</v>
      </c>
      <c r="D291" s="2" t="s">
        <v>653</v>
      </c>
      <c r="E291" s="4"/>
    </row>
    <row r="292" spans="1:5" ht="24" x14ac:dyDescent="0.25">
      <c r="A292">
        <v>120509</v>
      </c>
      <c r="B292" s="2" t="s">
        <v>608</v>
      </c>
      <c r="C292" s="2" t="s">
        <v>645</v>
      </c>
      <c r="D292" s="2" t="s">
        <v>654</v>
      </c>
      <c r="E292" s="4"/>
    </row>
    <row r="293" spans="1:5" x14ac:dyDescent="0.25">
      <c r="A293">
        <v>20404</v>
      </c>
      <c r="B293" s="2" t="s">
        <v>116</v>
      </c>
      <c r="C293" s="2" t="s">
        <v>141</v>
      </c>
      <c r="D293" s="2" t="s">
        <v>145</v>
      </c>
      <c r="E293" s="4"/>
    </row>
    <row r="294" spans="1:5" ht="24" x14ac:dyDescent="0.25">
      <c r="A294">
        <v>120803</v>
      </c>
      <c r="B294" s="2" t="s">
        <v>608</v>
      </c>
      <c r="C294" s="2" t="s">
        <v>720</v>
      </c>
      <c r="D294" s="2" t="s">
        <v>723</v>
      </c>
      <c r="E294" s="4"/>
    </row>
    <row r="295" spans="1:5" ht="24" x14ac:dyDescent="0.25">
      <c r="A295">
        <v>120604</v>
      </c>
      <c r="B295" s="2" t="s">
        <v>608</v>
      </c>
      <c r="C295" s="2" t="s">
        <v>655</v>
      </c>
      <c r="D295" s="2" t="s">
        <v>657</v>
      </c>
      <c r="E295" s="4"/>
    </row>
    <row r="296" spans="1:5" ht="24" x14ac:dyDescent="0.25">
      <c r="A296">
        <v>120402</v>
      </c>
      <c r="B296" s="2" t="s">
        <v>608</v>
      </c>
      <c r="C296" s="2" t="s">
        <v>639</v>
      </c>
      <c r="D296" s="2" t="s">
        <v>641</v>
      </c>
      <c r="E296" s="4"/>
    </row>
    <row r="297" spans="1:5" ht="24" x14ac:dyDescent="0.25">
      <c r="A297">
        <v>120203</v>
      </c>
      <c r="B297" s="2" t="s">
        <v>608</v>
      </c>
      <c r="C297" s="2" t="s">
        <v>618</v>
      </c>
      <c r="D297" s="2" t="s">
        <v>621</v>
      </c>
      <c r="E297" s="4">
        <v>0</v>
      </c>
    </row>
    <row r="298" spans="1:5" ht="24" x14ac:dyDescent="0.25">
      <c r="A298">
        <v>120204</v>
      </c>
      <c r="B298" s="2" t="s">
        <v>608</v>
      </c>
      <c r="C298" s="2" t="s">
        <v>618</v>
      </c>
      <c r="D298" s="2" t="s">
        <v>622</v>
      </c>
      <c r="E298" s="4">
        <v>0</v>
      </c>
    </row>
    <row r="299" spans="1:5" ht="24" x14ac:dyDescent="0.25">
      <c r="A299">
        <v>120205</v>
      </c>
      <c r="B299" s="2" t="s">
        <v>608</v>
      </c>
      <c r="C299" s="2" t="s">
        <v>618</v>
      </c>
      <c r="D299" s="2" t="s">
        <v>623</v>
      </c>
      <c r="E299" s="4">
        <v>0</v>
      </c>
    </row>
    <row r="300" spans="1:5" ht="24" x14ac:dyDescent="0.25">
      <c r="A300">
        <v>120206</v>
      </c>
      <c r="B300" s="2" t="s">
        <v>608</v>
      </c>
      <c r="C300" s="2" t="s">
        <v>618</v>
      </c>
      <c r="D300" s="2" t="s">
        <v>624</v>
      </c>
      <c r="E300" s="4">
        <v>0</v>
      </c>
    </row>
    <row r="301" spans="1:5" ht="24" x14ac:dyDescent="0.25">
      <c r="A301">
        <v>120201</v>
      </c>
      <c r="B301" s="2" t="s">
        <v>608</v>
      </c>
      <c r="C301" s="2" t="s">
        <v>618</v>
      </c>
      <c r="D301" s="2" t="s">
        <v>619</v>
      </c>
      <c r="E301" s="4"/>
    </row>
    <row r="302" spans="1:5" x14ac:dyDescent="0.25">
      <c r="A302">
        <v>130709</v>
      </c>
      <c r="B302" s="2" t="s">
        <v>732</v>
      </c>
      <c r="C302" s="2" t="s">
        <v>763</v>
      </c>
      <c r="D302" s="2" t="s">
        <v>321</v>
      </c>
      <c r="E302" s="4">
        <v>1</v>
      </c>
    </row>
    <row r="303" spans="1:5" x14ac:dyDescent="0.25">
      <c r="A303">
        <v>91111</v>
      </c>
      <c r="B303" s="2" t="s">
        <v>508</v>
      </c>
      <c r="C303" s="2" t="s">
        <v>583</v>
      </c>
      <c r="D303" s="2" t="s">
        <v>710</v>
      </c>
      <c r="E303" s="4">
        <v>1</v>
      </c>
    </row>
    <row r="304" spans="1:5" x14ac:dyDescent="0.25">
      <c r="A304">
        <v>41201</v>
      </c>
      <c r="B304" s="2" t="s">
        <v>205</v>
      </c>
      <c r="C304" s="2" t="s">
        <v>288</v>
      </c>
      <c r="D304" s="2" t="s">
        <v>289</v>
      </c>
      <c r="E304" s="4"/>
    </row>
    <row r="305" spans="1:5" x14ac:dyDescent="0.25">
      <c r="A305">
        <v>40802</v>
      </c>
      <c r="B305" s="2" t="s">
        <v>205</v>
      </c>
      <c r="C305" s="2" t="s">
        <v>264</v>
      </c>
      <c r="D305" s="2" t="s">
        <v>265</v>
      </c>
      <c r="E305" s="4"/>
    </row>
    <row r="306" spans="1:5" x14ac:dyDescent="0.25">
      <c r="A306">
        <v>40802</v>
      </c>
      <c r="B306" s="2" t="s">
        <v>205</v>
      </c>
      <c r="C306" s="2" t="s">
        <v>264</v>
      </c>
      <c r="D306" s="2" t="s">
        <v>265</v>
      </c>
      <c r="E306" s="4"/>
    </row>
    <row r="307" spans="1:5" x14ac:dyDescent="0.25">
      <c r="A307">
        <v>130710</v>
      </c>
      <c r="B307" s="2" t="s">
        <v>732</v>
      </c>
      <c r="C307" s="2" t="s">
        <v>763</v>
      </c>
      <c r="D307" s="2" t="s">
        <v>771</v>
      </c>
      <c r="E307" s="4"/>
    </row>
    <row r="308" spans="1:5" x14ac:dyDescent="0.25">
      <c r="A308">
        <v>70711</v>
      </c>
      <c r="B308" s="2" t="s">
        <v>374</v>
      </c>
      <c r="C308" s="2" t="s">
        <v>439</v>
      </c>
      <c r="D308" s="2" t="s">
        <v>450</v>
      </c>
      <c r="E308" s="4"/>
    </row>
    <row r="309" spans="1:5" x14ac:dyDescent="0.25">
      <c r="A309">
        <v>30404</v>
      </c>
      <c r="B309" s="2" t="s">
        <v>164</v>
      </c>
      <c r="C309" s="2" t="s">
        <v>192</v>
      </c>
      <c r="D309" s="2" t="s">
        <v>196</v>
      </c>
      <c r="E309" s="4"/>
    </row>
    <row r="310" spans="1:5" x14ac:dyDescent="0.25">
      <c r="A310">
        <v>130711</v>
      </c>
      <c r="B310" s="2" t="s">
        <v>732</v>
      </c>
      <c r="C310" s="2" t="s">
        <v>763</v>
      </c>
      <c r="D310" s="2" t="s">
        <v>772</v>
      </c>
      <c r="E310" s="4"/>
    </row>
    <row r="311" spans="1:5" x14ac:dyDescent="0.25">
      <c r="A311">
        <v>130711</v>
      </c>
      <c r="B311" s="2" t="s">
        <v>732</v>
      </c>
      <c r="C311" s="2" t="s">
        <v>763</v>
      </c>
      <c r="D311" s="2" t="s">
        <v>772</v>
      </c>
      <c r="E311" s="4"/>
    </row>
    <row r="312" spans="1:5" ht="24" x14ac:dyDescent="0.25">
      <c r="A312">
        <v>120403</v>
      </c>
      <c r="B312" s="2" t="s">
        <v>608</v>
      </c>
      <c r="C312" s="2" t="s">
        <v>639</v>
      </c>
      <c r="D312" s="2" t="s">
        <v>642</v>
      </c>
      <c r="E312" s="4"/>
    </row>
    <row r="313" spans="1:5" x14ac:dyDescent="0.25">
      <c r="A313">
        <v>50105</v>
      </c>
      <c r="B313" s="2" t="s">
        <v>301</v>
      </c>
      <c r="C313" s="2" t="s">
        <v>302</v>
      </c>
      <c r="D313" s="2" t="s">
        <v>305</v>
      </c>
      <c r="E313" s="4"/>
    </row>
    <row r="314" spans="1:5" x14ac:dyDescent="0.25">
      <c r="A314">
        <v>40405</v>
      </c>
      <c r="B314" s="2" t="s">
        <v>205</v>
      </c>
      <c r="C314" s="2" t="s">
        <v>231</v>
      </c>
      <c r="D314" s="2" t="s">
        <v>235</v>
      </c>
      <c r="E314" s="4"/>
    </row>
    <row r="315" spans="1:5" ht="24" x14ac:dyDescent="0.25">
      <c r="A315">
        <v>110202</v>
      </c>
      <c r="B315" s="2" t="s">
        <v>601</v>
      </c>
      <c r="C315" s="2" t="s">
        <v>307</v>
      </c>
      <c r="D315" s="2" t="s">
        <v>607</v>
      </c>
      <c r="E315" s="4"/>
    </row>
    <row r="316" spans="1:5" x14ac:dyDescent="0.25">
      <c r="A316">
        <v>81003</v>
      </c>
      <c r="B316" s="2" t="s">
        <v>451</v>
      </c>
      <c r="C316" s="2" t="s">
        <v>494</v>
      </c>
      <c r="D316" s="2" t="s">
        <v>497</v>
      </c>
      <c r="E316" s="4">
        <v>7</v>
      </c>
    </row>
    <row r="317" spans="1:5" ht="24" x14ac:dyDescent="0.25">
      <c r="A317">
        <v>130102</v>
      </c>
      <c r="B317" s="2" t="s">
        <v>732</v>
      </c>
      <c r="C317" s="2" t="s">
        <v>733</v>
      </c>
      <c r="D317" s="2" t="s">
        <v>735</v>
      </c>
      <c r="E317" s="4">
        <v>5</v>
      </c>
    </row>
    <row r="318" spans="1:5" x14ac:dyDescent="0.25">
      <c r="A318">
        <v>20206</v>
      </c>
      <c r="B318" s="2" t="s">
        <v>116</v>
      </c>
      <c r="C318" s="2" t="s">
        <v>123</v>
      </c>
      <c r="D318" s="2" t="s">
        <v>129</v>
      </c>
      <c r="E318" s="4"/>
    </row>
    <row r="319" spans="1:5" x14ac:dyDescent="0.25">
      <c r="A319">
        <v>80812</v>
      </c>
      <c r="B319" s="2" t="s">
        <v>451</v>
      </c>
      <c r="C319" s="2" t="s">
        <v>451</v>
      </c>
      <c r="D319" s="2" t="s">
        <v>129</v>
      </c>
      <c r="E319" s="4">
        <v>21</v>
      </c>
    </row>
    <row r="320" spans="1:5" x14ac:dyDescent="0.25">
      <c r="A320">
        <v>41102</v>
      </c>
      <c r="B320" s="2" t="s">
        <v>205</v>
      </c>
      <c r="C320" s="2" t="s">
        <v>284</v>
      </c>
      <c r="D320" s="2" t="s">
        <v>286</v>
      </c>
      <c r="E320" s="4"/>
    </row>
    <row r="321" spans="1:5" x14ac:dyDescent="0.25">
      <c r="A321">
        <v>41305</v>
      </c>
      <c r="B321" s="2" t="s">
        <v>205</v>
      </c>
      <c r="C321" s="2" t="s">
        <v>292</v>
      </c>
      <c r="D321" s="2" t="s">
        <v>296</v>
      </c>
      <c r="E321" s="4"/>
    </row>
    <row r="322" spans="1:5" ht="24" x14ac:dyDescent="0.25">
      <c r="A322">
        <v>120605</v>
      </c>
      <c r="B322" s="2" t="s">
        <v>608</v>
      </c>
      <c r="C322" s="2" t="s">
        <v>655</v>
      </c>
      <c r="D322" s="2" t="s">
        <v>655</v>
      </c>
      <c r="E322" s="4"/>
    </row>
    <row r="323" spans="1:5" ht="24" x14ac:dyDescent="0.25">
      <c r="A323">
        <v>120315</v>
      </c>
      <c r="B323" s="2" t="s">
        <v>608</v>
      </c>
      <c r="C323" s="2" t="s">
        <v>627</v>
      </c>
      <c r="D323" s="2" t="s">
        <v>714</v>
      </c>
      <c r="E323" s="4"/>
    </row>
    <row r="324" spans="1:5" ht="24" x14ac:dyDescent="0.25">
      <c r="A324">
        <v>120306</v>
      </c>
      <c r="B324" s="2" t="s">
        <v>608</v>
      </c>
      <c r="C324" s="2" t="s">
        <v>627</v>
      </c>
      <c r="D324" s="2" t="s">
        <v>633</v>
      </c>
      <c r="E324" s="4"/>
    </row>
    <row r="325" spans="1:5" ht="24" x14ac:dyDescent="0.25">
      <c r="A325">
        <v>120701</v>
      </c>
      <c r="B325" s="2" t="s">
        <v>608</v>
      </c>
      <c r="C325" s="2" t="s">
        <v>660</v>
      </c>
      <c r="D325" s="2" t="s">
        <v>660</v>
      </c>
      <c r="E325" s="4">
        <v>0</v>
      </c>
    </row>
    <row r="326" spans="1:5" x14ac:dyDescent="0.25">
      <c r="A326">
        <v>60102</v>
      </c>
      <c r="B326" s="2" t="s">
        <v>321</v>
      </c>
      <c r="C326" s="2" t="s">
        <v>322</v>
      </c>
      <c r="D326" s="2" t="s">
        <v>324</v>
      </c>
      <c r="E326" s="4">
        <v>0</v>
      </c>
    </row>
    <row r="327" spans="1:5" x14ac:dyDescent="0.25">
      <c r="A327">
        <v>60305</v>
      </c>
      <c r="B327" s="2" t="s">
        <v>321</v>
      </c>
      <c r="C327" s="2" t="s">
        <v>336</v>
      </c>
      <c r="D327" s="2" t="s">
        <v>324</v>
      </c>
      <c r="E327" s="4"/>
    </row>
    <row r="328" spans="1:5" x14ac:dyDescent="0.25">
      <c r="A328">
        <v>90104</v>
      </c>
      <c r="B328" s="2" t="s">
        <v>508</v>
      </c>
      <c r="C328" s="2" t="s">
        <v>509</v>
      </c>
      <c r="D328" s="2" t="s">
        <v>513</v>
      </c>
      <c r="E328" s="4"/>
    </row>
    <row r="329" spans="1:5" x14ac:dyDescent="0.25">
      <c r="A329">
        <v>70303</v>
      </c>
      <c r="B329" s="2" t="s">
        <v>374</v>
      </c>
      <c r="C329" s="2" t="s">
        <v>374</v>
      </c>
      <c r="D329" s="2" t="s">
        <v>408</v>
      </c>
      <c r="E329" s="4">
        <v>1</v>
      </c>
    </row>
    <row r="330" spans="1:5" x14ac:dyDescent="0.25">
      <c r="A330">
        <v>91002</v>
      </c>
      <c r="B330" s="2" t="s">
        <v>508</v>
      </c>
      <c r="C330" s="2" t="s">
        <v>573</v>
      </c>
      <c r="D330" s="2" t="s">
        <v>408</v>
      </c>
      <c r="E330" s="4">
        <v>0</v>
      </c>
    </row>
    <row r="331" spans="1:5" x14ac:dyDescent="0.25">
      <c r="A331">
        <v>40501</v>
      </c>
      <c r="B331" s="2" t="s">
        <v>205</v>
      </c>
      <c r="C331" s="2" t="s">
        <v>237</v>
      </c>
      <c r="D331" s="2" t="s">
        <v>238</v>
      </c>
      <c r="E331" s="4">
        <v>0</v>
      </c>
    </row>
    <row r="332" spans="1:5" x14ac:dyDescent="0.25">
      <c r="A332">
        <v>30204</v>
      </c>
      <c r="B332" s="2" t="s">
        <v>164</v>
      </c>
      <c r="C332" s="2" t="s">
        <v>179</v>
      </c>
      <c r="D332" s="2" t="s">
        <v>183</v>
      </c>
      <c r="E332" s="4"/>
    </row>
    <row r="333" spans="1:5" x14ac:dyDescent="0.25">
      <c r="A333">
        <v>70105</v>
      </c>
      <c r="B333" s="2" t="s">
        <v>374</v>
      </c>
      <c r="C333" s="2" t="s">
        <v>375</v>
      </c>
      <c r="D333" s="2" t="s">
        <v>380</v>
      </c>
      <c r="E333" s="4"/>
    </row>
    <row r="334" spans="1:5" x14ac:dyDescent="0.25">
      <c r="A334">
        <v>80202</v>
      </c>
      <c r="B334" s="2" t="s">
        <v>451</v>
      </c>
      <c r="C334" s="2" t="s">
        <v>452</v>
      </c>
      <c r="D334" s="2" t="s">
        <v>454</v>
      </c>
      <c r="E334" s="4"/>
    </row>
    <row r="335" spans="1:5" x14ac:dyDescent="0.25">
      <c r="A335">
        <v>130905</v>
      </c>
      <c r="B335" s="2" t="s">
        <v>732</v>
      </c>
      <c r="C335" s="2" t="s">
        <v>252</v>
      </c>
      <c r="D335" s="2" t="s">
        <v>781</v>
      </c>
      <c r="E335" s="4"/>
    </row>
    <row r="336" spans="1:5" x14ac:dyDescent="0.25">
      <c r="A336">
        <v>80203</v>
      </c>
      <c r="B336" s="2" t="s">
        <v>451</v>
      </c>
      <c r="C336" s="2" t="s">
        <v>452</v>
      </c>
      <c r="D336" s="2" t="s">
        <v>455</v>
      </c>
      <c r="E336" s="4"/>
    </row>
    <row r="337" spans="1:5" x14ac:dyDescent="0.25">
      <c r="A337">
        <v>70304</v>
      </c>
      <c r="B337" s="2" t="s">
        <v>374</v>
      </c>
      <c r="C337" s="2" t="s">
        <v>374</v>
      </c>
      <c r="D337" s="2" t="s">
        <v>409</v>
      </c>
      <c r="E337" s="4"/>
    </row>
    <row r="338" spans="1:5" x14ac:dyDescent="0.25">
      <c r="A338">
        <v>40506</v>
      </c>
      <c r="B338" s="2" t="s">
        <v>205</v>
      </c>
      <c r="C338" s="2" t="s">
        <v>237</v>
      </c>
      <c r="D338" s="2" t="s">
        <v>241</v>
      </c>
      <c r="E338" s="4">
        <v>0</v>
      </c>
    </row>
    <row r="339" spans="1:5" x14ac:dyDescent="0.25">
      <c r="A339">
        <v>80804</v>
      </c>
      <c r="B339" s="2" t="s">
        <v>451</v>
      </c>
      <c r="C339" s="2" t="s">
        <v>451</v>
      </c>
      <c r="D339" s="2" t="s">
        <v>475</v>
      </c>
      <c r="E339" s="4"/>
    </row>
    <row r="340" spans="1:5" x14ac:dyDescent="0.25">
      <c r="A340">
        <v>90603</v>
      </c>
      <c r="B340" s="2" t="s">
        <v>508</v>
      </c>
      <c r="C340" s="2" t="s">
        <v>548</v>
      </c>
      <c r="D340" s="2" t="s">
        <v>551</v>
      </c>
      <c r="E340" s="4"/>
    </row>
    <row r="341" spans="1:5" x14ac:dyDescent="0.25">
      <c r="A341">
        <v>10209</v>
      </c>
      <c r="B341" s="2" t="s">
        <v>92</v>
      </c>
      <c r="C341" s="2" t="s">
        <v>100</v>
      </c>
      <c r="D341" s="2" t="s">
        <v>107</v>
      </c>
      <c r="E341" s="4">
        <v>0</v>
      </c>
    </row>
    <row r="342" spans="1:5" x14ac:dyDescent="0.25">
      <c r="A342">
        <v>80204</v>
      </c>
      <c r="B342" s="2" t="s">
        <v>451</v>
      </c>
      <c r="C342" s="2" t="s">
        <v>452</v>
      </c>
      <c r="D342" s="2" t="s">
        <v>456</v>
      </c>
      <c r="E342" s="4"/>
    </row>
    <row r="343" spans="1:5" x14ac:dyDescent="0.25">
      <c r="A343">
        <v>90206</v>
      </c>
      <c r="B343" s="2" t="s">
        <v>508</v>
      </c>
      <c r="C343" s="2" t="s">
        <v>515</v>
      </c>
      <c r="D343" s="2" t="s">
        <v>520</v>
      </c>
      <c r="E343" s="4"/>
    </row>
    <row r="344" spans="1:5" x14ac:dyDescent="0.25">
      <c r="A344">
        <v>130906</v>
      </c>
      <c r="B344" s="2" t="s">
        <v>732</v>
      </c>
      <c r="C344" s="2" t="s">
        <v>252</v>
      </c>
      <c r="D344" s="2" t="s">
        <v>520</v>
      </c>
      <c r="E344" s="4">
        <v>0</v>
      </c>
    </row>
    <row r="345" spans="1:5" x14ac:dyDescent="0.25">
      <c r="A345">
        <v>70209</v>
      </c>
      <c r="B345" s="2" t="s">
        <v>374</v>
      </c>
      <c r="C345" s="2" t="s">
        <v>105</v>
      </c>
      <c r="D345" s="2" t="s">
        <v>393</v>
      </c>
      <c r="E345" s="4"/>
    </row>
    <row r="346" spans="1:5" x14ac:dyDescent="0.25">
      <c r="A346">
        <v>70408</v>
      </c>
      <c r="B346" s="2" t="s">
        <v>374</v>
      </c>
      <c r="C346" s="2" t="s">
        <v>418</v>
      </c>
      <c r="D346" s="2" t="s">
        <v>425</v>
      </c>
      <c r="E346" s="4"/>
    </row>
    <row r="347" spans="1:5" x14ac:dyDescent="0.25">
      <c r="A347">
        <v>90401</v>
      </c>
      <c r="B347" s="2" t="s">
        <v>508</v>
      </c>
      <c r="C347" s="2" t="s">
        <v>425</v>
      </c>
      <c r="D347" s="2" t="s">
        <v>533</v>
      </c>
      <c r="E347" s="4">
        <v>0</v>
      </c>
    </row>
    <row r="348" spans="1:5" x14ac:dyDescent="0.25">
      <c r="A348">
        <v>70210</v>
      </c>
      <c r="B348" s="2" t="s">
        <v>374</v>
      </c>
      <c r="C348" s="2" t="s">
        <v>105</v>
      </c>
      <c r="D348" s="2" t="s">
        <v>394</v>
      </c>
      <c r="E348" s="4"/>
    </row>
    <row r="349" spans="1:5" x14ac:dyDescent="0.25">
      <c r="A349">
        <v>90103</v>
      </c>
      <c r="B349" s="2" t="s">
        <v>508</v>
      </c>
      <c r="C349" s="2" t="s">
        <v>509</v>
      </c>
      <c r="D349" s="2" t="s">
        <v>512</v>
      </c>
      <c r="E349" s="4"/>
    </row>
    <row r="350" spans="1:5" x14ac:dyDescent="0.25">
      <c r="A350">
        <v>70211</v>
      </c>
      <c r="B350" s="2" t="s">
        <v>374</v>
      </c>
      <c r="C350" s="2" t="s">
        <v>105</v>
      </c>
      <c r="D350" s="2" t="s">
        <v>395</v>
      </c>
      <c r="E350" s="4"/>
    </row>
    <row r="351" spans="1:5" x14ac:dyDescent="0.25">
      <c r="A351">
        <v>50101</v>
      </c>
      <c r="B351" s="2" t="s">
        <v>301</v>
      </c>
      <c r="C351" s="2" t="s">
        <v>302</v>
      </c>
      <c r="D351" s="2" t="s">
        <v>303</v>
      </c>
      <c r="E351" s="4">
        <v>0</v>
      </c>
    </row>
    <row r="352" spans="1:5" x14ac:dyDescent="0.25">
      <c r="A352">
        <v>50101</v>
      </c>
      <c r="B352" s="2" t="s">
        <v>301</v>
      </c>
      <c r="C352" s="2" t="s">
        <v>302</v>
      </c>
      <c r="D352" s="2" t="s">
        <v>303</v>
      </c>
      <c r="E352" s="4">
        <v>0</v>
      </c>
    </row>
    <row r="353" spans="1:5" x14ac:dyDescent="0.25">
      <c r="A353">
        <v>70106</v>
      </c>
      <c r="B353" s="2" t="s">
        <v>374</v>
      </c>
      <c r="C353" s="2" t="s">
        <v>375</v>
      </c>
      <c r="D353" s="2" t="s">
        <v>381</v>
      </c>
      <c r="E353" s="4">
        <v>0</v>
      </c>
    </row>
    <row r="354" spans="1:5" x14ac:dyDescent="0.25">
      <c r="A354">
        <v>20505</v>
      </c>
      <c r="B354" s="2" t="s">
        <v>116</v>
      </c>
      <c r="C354" s="2" t="s">
        <v>148</v>
      </c>
      <c r="D354" s="2" t="s">
        <v>153</v>
      </c>
      <c r="E354" s="4">
        <v>0</v>
      </c>
    </row>
    <row r="355" spans="1:5" x14ac:dyDescent="0.25">
      <c r="A355">
        <v>91003</v>
      </c>
      <c r="B355" s="2" t="s">
        <v>508</v>
      </c>
      <c r="C355" s="2" t="s">
        <v>573</v>
      </c>
      <c r="D355" s="2" t="s">
        <v>575</v>
      </c>
      <c r="E355" s="4">
        <v>0</v>
      </c>
    </row>
    <row r="356" spans="1:5" x14ac:dyDescent="0.25">
      <c r="A356">
        <v>20301</v>
      </c>
      <c r="B356" s="2" t="s">
        <v>116</v>
      </c>
      <c r="C356" s="2" t="s">
        <v>134</v>
      </c>
      <c r="D356" s="2" t="s">
        <v>135</v>
      </c>
      <c r="E356" s="4">
        <v>0</v>
      </c>
    </row>
    <row r="357" spans="1:5" x14ac:dyDescent="0.25">
      <c r="A357">
        <v>60306</v>
      </c>
      <c r="B357" s="2" t="s">
        <v>321</v>
      </c>
      <c r="C357" s="2" t="s">
        <v>336</v>
      </c>
      <c r="D357" s="2" t="s">
        <v>341</v>
      </c>
      <c r="E357" s="4"/>
    </row>
    <row r="358" spans="1:5" x14ac:dyDescent="0.25">
      <c r="A358">
        <v>90207</v>
      </c>
      <c r="B358" s="2" t="s">
        <v>508</v>
      </c>
      <c r="C358" s="2" t="s">
        <v>515</v>
      </c>
      <c r="D358" s="2" t="s">
        <v>521</v>
      </c>
      <c r="E358" s="4"/>
    </row>
    <row r="359" spans="1:5" x14ac:dyDescent="0.25">
      <c r="A359">
        <v>91004</v>
      </c>
      <c r="B359" s="2" t="s">
        <v>508</v>
      </c>
      <c r="C359" s="2" t="s">
        <v>573</v>
      </c>
      <c r="D359" s="2" t="s">
        <v>576</v>
      </c>
      <c r="E359" s="4"/>
    </row>
    <row r="360" spans="1:5" x14ac:dyDescent="0.25">
      <c r="A360">
        <v>130712</v>
      </c>
      <c r="B360" s="2" t="s">
        <v>732</v>
      </c>
      <c r="C360" s="2" t="s">
        <v>763</v>
      </c>
      <c r="D360" s="2" t="s">
        <v>773</v>
      </c>
      <c r="E360" s="4">
        <v>0</v>
      </c>
    </row>
    <row r="361" spans="1:5" x14ac:dyDescent="0.25">
      <c r="A361">
        <v>130712</v>
      </c>
      <c r="B361" s="2" t="s">
        <v>732</v>
      </c>
      <c r="C361" s="2" t="s">
        <v>763</v>
      </c>
      <c r="D361" s="2" t="s">
        <v>773</v>
      </c>
      <c r="E361" s="4">
        <v>0</v>
      </c>
    </row>
    <row r="362" spans="1:5" x14ac:dyDescent="0.25">
      <c r="A362">
        <v>91107</v>
      </c>
      <c r="B362" s="2" t="s">
        <v>508</v>
      </c>
      <c r="C362" s="2" t="s">
        <v>583</v>
      </c>
      <c r="D362" s="2" t="s">
        <v>588</v>
      </c>
      <c r="E362" s="4">
        <v>0</v>
      </c>
    </row>
    <row r="363" spans="1:5" x14ac:dyDescent="0.25">
      <c r="A363">
        <v>90208</v>
      </c>
      <c r="B363" s="2" t="s">
        <v>508</v>
      </c>
      <c r="C363" s="2" t="s">
        <v>515</v>
      </c>
      <c r="D363" s="2" t="s">
        <v>522</v>
      </c>
      <c r="E363" s="4"/>
    </row>
    <row r="364" spans="1:5" x14ac:dyDescent="0.25">
      <c r="A364">
        <v>70212</v>
      </c>
      <c r="B364" s="2" t="s">
        <v>374</v>
      </c>
      <c r="C364" s="2" t="s">
        <v>105</v>
      </c>
      <c r="D364" s="2" t="s">
        <v>396</v>
      </c>
      <c r="E364" s="4"/>
    </row>
    <row r="365" spans="1:5" x14ac:dyDescent="0.25">
      <c r="A365">
        <v>91112</v>
      </c>
      <c r="B365" s="2" t="s">
        <v>508</v>
      </c>
      <c r="C365" s="2" t="s">
        <v>583</v>
      </c>
      <c r="D365" s="2" t="s">
        <v>711</v>
      </c>
      <c r="E365" s="4">
        <v>0</v>
      </c>
    </row>
    <row r="366" spans="1:5" x14ac:dyDescent="0.25">
      <c r="A366">
        <v>130308</v>
      </c>
      <c r="B366" s="2" t="s">
        <v>732</v>
      </c>
      <c r="C366" s="2" t="s">
        <v>741</v>
      </c>
      <c r="D366" s="2" t="s">
        <v>748</v>
      </c>
      <c r="E366" s="4"/>
    </row>
    <row r="367" spans="1:5" x14ac:dyDescent="0.25">
      <c r="A367">
        <v>70709</v>
      </c>
      <c r="B367" s="2" t="s">
        <v>374</v>
      </c>
      <c r="C367" s="2" t="s">
        <v>439</v>
      </c>
      <c r="D367" s="2" t="s">
        <v>448</v>
      </c>
      <c r="E367" s="4"/>
    </row>
    <row r="368" spans="1:5" ht="24" x14ac:dyDescent="0.25">
      <c r="A368">
        <v>70301</v>
      </c>
      <c r="B368" s="2" t="s">
        <v>374</v>
      </c>
      <c r="C368" s="2" t="s">
        <v>374</v>
      </c>
      <c r="D368" s="2" t="s">
        <v>407</v>
      </c>
      <c r="E368" s="4">
        <v>0</v>
      </c>
    </row>
    <row r="369" spans="1:5" x14ac:dyDescent="0.25">
      <c r="A369">
        <v>90209</v>
      </c>
      <c r="B369" s="2" t="s">
        <v>508</v>
      </c>
      <c r="C369" s="2" t="s">
        <v>515</v>
      </c>
      <c r="D369" s="2" t="s">
        <v>523</v>
      </c>
      <c r="E369" s="4"/>
    </row>
    <row r="370" spans="1:5" x14ac:dyDescent="0.25">
      <c r="A370">
        <v>90209</v>
      </c>
      <c r="B370" s="2" t="s">
        <v>508</v>
      </c>
      <c r="C370" s="2" t="s">
        <v>515</v>
      </c>
      <c r="D370" s="2" t="s">
        <v>523</v>
      </c>
      <c r="E370" s="4"/>
    </row>
    <row r="371" spans="1:5" x14ac:dyDescent="0.25">
      <c r="A371">
        <v>70603</v>
      </c>
      <c r="B371" s="2" t="s">
        <v>374</v>
      </c>
      <c r="C371" s="2" t="s">
        <v>121</v>
      </c>
      <c r="D371" s="2" t="s">
        <v>437</v>
      </c>
      <c r="E371" s="4"/>
    </row>
    <row r="372" spans="1:5" x14ac:dyDescent="0.25">
      <c r="A372">
        <v>41103</v>
      </c>
      <c r="B372" s="2" t="s">
        <v>205</v>
      </c>
      <c r="C372" s="2" t="s">
        <v>284</v>
      </c>
      <c r="D372" s="2" t="s">
        <v>287</v>
      </c>
      <c r="E372" s="4"/>
    </row>
    <row r="373" spans="1:5" ht="24" x14ac:dyDescent="0.25">
      <c r="A373">
        <v>110102</v>
      </c>
      <c r="B373" s="2" t="s">
        <v>601</v>
      </c>
      <c r="C373" s="2" t="s">
        <v>602</v>
      </c>
      <c r="D373" s="2" t="s">
        <v>604</v>
      </c>
      <c r="E373" s="4">
        <v>0</v>
      </c>
    </row>
    <row r="374" spans="1:5" x14ac:dyDescent="0.25">
      <c r="A374">
        <v>41306</v>
      </c>
      <c r="B374" s="2" t="s">
        <v>205</v>
      </c>
      <c r="C374" s="2" t="s">
        <v>292</v>
      </c>
      <c r="D374" s="2" t="s">
        <v>297</v>
      </c>
      <c r="E374" s="4"/>
    </row>
    <row r="375" spans="1:5" ht="24" x14ac:dyDescent="0.25">
      <c r="A375">
        <v>120404</v>
      </c>
      <c r="B375" s="2" t="s">
        <v>608</v>
      </c>
      <c r="C375" s="2" t="s">
        <v>639</v>
      </c>
      <c r="D375" s="2" t="s">
        <v>643</v>
      </c>
      <c r="E375" s="4"/>
    </row>
    <row r="376" spans="1:5" x14ac:dyDescent="0.25">
      <c r="A376">
        <v>60602</v>
      </c>
      <c r="B376" s="2" t="s">
        <v>321</v>
      </c>
      <c r="C376" s="2" t="s">
        <v>359</v>
      </c>
      <c r="D376" s="2" t="s">
        <v>361</v>
      </c>
      <c r="E376" s="4"/>
    </row>
    <row r="377" spans="1:5" x14ac:dyDescent="0.25">
      <c r="A377">
        <v>70305</v>
      </c>
      <c r="B377" s="2" t="s">
        <v>374</v>
      </c>
      <c r="C377" s="2" t="s">
        <v>374</v>
      </c>
      <c r="D377" s="2" t="s">
        <v>410</v>
      </c>
      <c r="E377" s="4"/>
    </row>
    <row r="378" spans="1:5" x14ac:dyDescent="0.25">
      <c r="A378">
        <v>90308</v>
      </c>
      <c r="B378" s="2" t="s">
        <v>508</v>
      </c>
      <c r="C378" s="2" t="s">
        <v>526</v>
      </c>
      <c r="D378" s="2" t="s">
        <v>410</v>
      </c>
      <c r="E378" s="4"/>
    </row>
    <row r="379" spans="1:5" x14ac:dyDescent="0.25">
      <c r="A379">
        <v>80816</v>
      </c>
      <c r="B379" s="2" t="s">
        <v>451</v>
      </c>
      <c r="C379" s="2" t="s">
        <v>451</v>
      </c>
      <c r="D379" s="2" t="s">
        <v>484</v>
      </c>
      <c r="E379" s="4">
        <v>6</v>
      </c>
    </row>
    <row r="380" spans="1:5" x14ac:dyDescent="0.25">
      <c r="A380">
        <v>10210</v>
      </c>
      <c r="B380" s="2" t="s">
        <v>92</v>
      </c>
      <c r="C380" s="2" t="s">
        <v>100</v>
      </c>
      <c r="D380" s="2" t="s">
        <v>108</v>
      </c>
      <c r="E380" s="4"/>
    </row>
    <row r="381" spans="1:5" x14ac:dyDescent="0.25">
      <c r="A381">
        <v>80817</v>
      </c>
      <c r="B381" s="2" t="s">
        <v>451</v>
      </c>
      <c r="C381" s="2" t="s">
        <v>451</v>
      </c>
      <c r="D381" s="2" t="s">
        <v>485</v>
      </c>
      <c r="E381" s="4">
        <v>0</v>
      </c>
    </row>
    <row r="382" spans="1:5" x14ac:dyDescent="0.25">
      <c r="A382">
        <v>70306</v>
      </c>
      <c r="B382" s="2" t="s">
        <v>374</v>
      </c>
      <c r="C382" s="2" t="s">
        <v>374</v>
      </c>
      <c r="D382" s="2" t="s">
        <v>411</v>
      </c>
      <c r="E382" s="4"/>
    </row>
    <row r="383" spans="1:5" x14ac:dyDescent="0.25">
      <c r="A383">
        <v>90210</v>
      </c>
      <c r="B383" s="2" t="s">
        <v>508</v>
      </c>
      <c r="C383" s="2" t="s">
        <v>515</v>
      </c>
      <c r="D383" s="2" t="s">
        <v>524</v>
      </c>
      <c r="E383" s="4"/>
    </row>
    <row r="384" spans="1:5" x14ac:dyDescent="0.25">
      <c r="A384">
        <v>20405</v>
      </c>
      <c r="B384" s="2" t="s">
        <v>116</v>
      </c>
      <c r="C384" s="2" t="s">
        <v>141</v>
      </c>
      <c r="D384" s="2" t="s">
        <v>146</v>
      </c>
      <c r="E384" s="4"/>
    </row>
    <row r="385" spans="1:5" x14ac:dyDescent="0.25">
      <c r="A385">
        <v>90702</v>
      </c>
      <c r="B385" s="2" t="s">
        <v>508</v>
      </c>
      <c r="C385" s="2" t="s">
        <v>556</v>
      </c>
      <c r="D385" s="2" t="s">
        <v>146</v>
      </c>
      <c r="E385" s="4"/>
    </row>
    <row r="386" spans="1:5" x14ac:dyDescent="0.25">
      <c r="A386">
        <v>41101</v>
      </c>
      <c r="B386" s="2" t="s">
        <v>205</v>
      </c>
      <c r="C386" s="2" t="s">
        <v>284</v>
      </c>
      <c r="D386" s="2" t="s">
        <v>285</v>
      </c>
      <c r="E386" s="4"/>
    </row>
    <row r="387" spans="1:5" x14ac:dyDescent="0.25">
      <c r="A387">
        <v>130407</v>
      </c>
      <c r="B387" s="2" t="s">
        <v>732</v>
      </c>
      <c r="C387" s="2" t="s">
        <v>753</v>
      </c>
      <c r="D387" s="2" t="s">
        <v>285</v>
      </c>
      <c r="E387" s="4">
        <v>0</v>
      </c>
    </row>
    <row r="388" spans="1:5" x14ac:dyDescent="0.25">
      <c r="A388">
        <v>60309</v>
      </c>
      <c r="B388" s="2" t="s">
        <v>321</v>
      </c>
      <c r="C388" s="2" t="s">
        <v>336</v>
      </c>
      <c r="D388" s="2" t="s">
        <v>344</v>
      </c>
      <c r="E388" s="4"/>
    </row>
    <row r="389" spans="1:5" x14ac:dyDescent="0.25">
      <c r="A389">
        <v>20306</v>
      </c>
      <c r="B389" s="2" t="s">
        <v>116</v>
      </c>
      <c r="C389" s="2" t="s">
        <v>134</v>
      </c>
      <c r="D389" s="2" t="s">
        <v>140</v>
      </c>
      <c r="E389" s="4"/>
    </row>
    <row r="390" spans="1:5" x14ac:dyDescent="0.25">
      <c r="A390">
        <v>40606</v>
      </c>
      <c r="B390" s="2" t="s">
        <v>205</v>
      </c>
      <c r="C390" s="2" t="s">
        <v>247</v>
      </c>
      <c r="D390" s="2" t="s">
        <v>140</v>
      </c>
      <c r="E390" s="4">
        <v>1</v>
      </c>
    </row>
    <row r="391" spans="1:5" x14ac:dyDescent="0.25">
      <c r="A391">
        <v>80820</v>
      </c>
      <c r="B391" s="2" t="s">
        <v>451</v>
      </c>
      <c r="C391" s="2" t="s">
        <v>451</v>
      </c>
      <c r="D391" s="2" t="s">
        <v>489</v>
      </c>
      <c r="E391" s="4">
        <v>6</v>
      </c>
    </row>
    <row r="392" spans="1:5" x14ac:dyDescent="0.25">
      <c r="A392">
        <v>80505</v>
      </c>
      <c r="B392" s="2" t="s">
        <v>451</v>
      </c>
      <c r="C392" s="2" t="s">
        <v>330</v>
      </c>
      <c r="D392" s="2" t="s">
        <v>462</v>
      </c>
      <c r="E392" s="4">
        <v>0</v>
      </c>
    </row>
    <row r="393" spans="1:5" x14ac:dyDescent="0.25">
      <c r="A393">
        <v>60201</v>
      </c>
      <c r="B393" s="2" t="s">
        <v>321</v>
      </c>
      <c r="C393" s="2" t="s">
        <v>328</v>
      </c>
      <c r="D393" s="2" t="s">
        <v>329</v>
      </c>
      <c r="E393" s="4"/>
    </row>
    <row r="394" spans="1:5" x14ac:dyDescent="0.25">
      <c r="A394">
        <v>130309</v>
      </c>
      <c r="B394" s="2" t="s">
        <v>732</v>
      </c>
      <c r="C394" s="2" t="s">
        <v>741</v>
      </c>
      <c r="D394" s="2" t="s">
        <v>749</v>
      </c>
      <c r="E394" s="4">
        <v>0</v>
      </c>
    </row>
    <row r="395" spans="1:5" x14ac:dyDescent="0.25">
      <c r="A395">
        <v>70409</v>
      </c>
      <c r="B395" s="2" t="s">
        <v>374</v>
      </c>
      <c r="C395" s="2" t="s">
        <v>418</v>
      </c>
      <c r="D395" s="2" t="s">
        <v>426</v>
      </c>
      <c r="E395" s="4"/>
    </row>
    <row r="396" spans="1:5" x14ac:dyDescent="0.25">
      <c r="A396">
        <v>90501</v>
      </c>
      <c r="B396" s="2" t="s">
        <v>508</v>
      </c>
      <c r="C396" s="2" t="s">
        <v>426</v>
      </c>
      <c r="D396" s="2" t="s">
        <v>538</v>
      </c>
      <c r="E396" s="4">
        <v>0</v>
      </c>
    </row>
    <row r="397" spans="1:5" x14ac:dyDescent="0.25">
      <c r="A397">
        <v>70213</v>
      </c>
      <c r="B397" s="2" t="s">
        <v>374</v>
      </c>
      <c r="C397" s="2" t="s">
        <v>105</v>
      </c>
      <c r="D397" s="2" t="s">
        <v>397</v>
      </c>
      <c r="E397" s="4"/>
    </row>
    <row r="398" spans="1:5" x14ac:dyDescent="0.25">
      <c r="A398">
        <v>10207</v>
      </c>
      <c r="B398" s="2" t="s">
        <v>92</v>
      </c>
      <c r="C398" s="2" t="s">
        <v>100</v>
      </c>
      <c r="D398" s="2" t="s">
        <v>105</v>
      </c>
      <c r="E398" s="4">
        <v>0</v>
      </c>
    </row>
    <row r="399" spans="1:5" x14ac:dyDescent="0.25">
      <c r="A399">
        <v>70201</v>
      </c>
      <c r="B399" s="2" t="s">
        <v>374</v>
      </c>
      <c r="C399" s="2" t="s">
        <v>105</v>
      </c>
      <c r="D399" s="2" t="s">
        <v>386</v>
      </c>
      <c r="E399" s="4">
        <v>0</v>
      </c>
    </row>
    <row r="400" spans="1:5" x14ac:dyDescent="0.25">
      <c r="A400">
        <v>70214</v>
      </c>
      <c r="B400" s="2" t="s">
        <v>374</v>
      </c>
      <c r="C400" s="2" t="s">
        <v>105</v>
      </c>
      <c r="D400" s="2" t="s">
        <v>398</v>
      </c>
      <c r="E400" s="4"/>
    </row>
    <row r="401" spans="1:5" x14ac:dyDescent="0.25">
      <c r="A401">
        <v>70107</v>
      </c>
      <c r="B401" s="2" t="s">
        <v>374</v>
      </c>
      <c r="C401" s="2" t="s">
        <v>375</v>
      </c>
      <c r="D401" s="2" t="s">
        <v>382</v>
      </c>
      <c r="E401" s="4"/>
    </row>
    <row r="402" spans="1:5" x14ac:dyDescent="0.25">
      <c r="A402">
        <v>130907</v>
      </c>
      <c r="B402" s="2" t="s">
        <v>732</v>
      </c>
      <c r="C402" s="2" t="s">
        <v>252</v>
      </c>
      <c r="D402" s="2" t="s">
        <v>782</v>
      </c>
      <c r="E402" s="4"/>
    </row>
    <row r="403" spans="1:5" x14ac:dyDescent="0.25">
      <c r="A403">
        <v>60205</v>
      </c>
      <c r="B403" s="2" t="s">
        <v>321</v>
      </c>
      <c r="C403" s="2" t="s">
        <v>328</v>
      </c>
      <c r="D403" s="2" t="s">
        <v>333</v>
      </c>
      <c r="E403" s="4">
        <v>0</v>
      </c>
    </row>
    <row r="404" spans="1:5" x14ac:dyDescent="0.25">
      <c r="A404">
        <v>90604</v>
      </c>
      <c r="B404" s="2" t="s">
        <v>508</v>
      </c>
      <c r="C404" s="2" t="s">
        <v>548</v>
      </c>
      <c r="D404" s="2" t="s">
        <v>333</v>
      </c>
      <c r="E404" s="4"/>
    </row>
    <row r="405" spans="1:5" x14ac:dyDescent="0.25">
      <c r="A405">
        <v>130310</v>
      </c>
      <c r="B405" s="2" t="s">
        <v>732</v>
      </c>
      <c r="C405" s="2" t="s">
        <v>741</v>
      </c>
      <c r="D405" s="2" t="s">
        <v>745</v>
      </c>
      <c r="E405" s="4">
        <v>1</v>
      </c>
    </row>
    <row r="406" spans="1:5" x14ac:dyDescent="0.25">
      <c r="A406">
        <v>30108</v>
      </c>
      <c r="B406" s="2" t="s">
        <v>164</v>
      </c>
      <c r="C406" s="2" t="s">
        <v>164</v>
      </c>
      <c r="D406" s="2" t="s">
        <v>171</v>
      </c>
      <c r="E406" s="4">
        <v>0</v>
      </c>
    </row>
    <row r="407" spans="1:5" x14ac:dyDescent="0.25">
      <c r="A407">
        <v>40202</v>
      </c>
      <c r="B407" s="2" t="s">
        <v>205</v>
      </c>
      <c r="C407" s="2" t="s">
        <v>216</v>
      </c>
      <c r="D407" s="2" t="s">
        <v>218</v>
      </c>
      <c r="E407" s="4"/>
    </row>
    <row r="408" spans="1:5" x14ac:dyDescent="0.25">
      <c r="A408">
        <v>70108</v>
      </c>
      <c r="B408" s="2" t="s">
        <v>374</v>
      </c>
      <c r="C408" s="2" t="s">
        <v>375</v>
      </c>
      <c r="D408" s="2" t="s">
        <v>383</v>
      </c>
      <c r="E408" s="4"/>
    </row>
    <row r="409" spans="1:5" x14ac:dyDescent="0.25">
      <c r="A409">
        <v>60104</v>
      </c>
      <c r="B409" s="2" t="s">
        <v>321</v>
      </c>
      <c r="C409" s="2" t="s">
        <v>322</v>
      </c>
      <c r="D409" s="2" t="s">
        <v>326</v>
      </c>
      <c r="E409" s="4">
        <v>0</v>
      </c>
    </row>
    <row r="410" spans="1:5" ht="24" x14ac:dyDescent="0.25">
      <c r="A410">
        <v>91201</v>
      </c>
      <c r="B410" s="2" t="s">
        <v>508</v>
      </c>
      <c r="C410" s="2" t="s">
        <v>591</v>
      </c>
      <c r="D410" s="2" t="s">
        <v>592</v>
      </c>
      <c r="E410" s="4">
        <v>0</v>
      </c>
    </row>
    <row r="411" spans="1:5" x14ac:dyDescent="0.25">
      <c r="A411">
        <v>60504</v>
      </c>
      <c r="B411" s="2" t="s">
        <v>321</v>
      </c>
      <c r="C411" s="2" t="s">
        <v>352</v>
      </c>
      <c r="D411" s="2" t="s">
        <v>355</v>
      </c>
      <c r="E411" s="4"/>
    </row>
    <row r="412" spans="1:5" x14ac:dyDescent="0.25">
      <c r="A412">
        <v>70410</v>
      </c>
      <c r="B412" s="2" t="s">
        <v>374</v>
      </c>
      <c r="C412" s="2" t="s">
        <v>418</v>
      </c>
      <c r="D412" s="2" t="s">
        <v>427</v>
      </c>
      <c r="E412" s="4"/>
    </row>
    <row r="413" spans="1:5" x14ac:dyDescent="0.25">
      <c r="A413">
        <v>20304</v>
      </c>
      <c r="B413" s="2" t="s">
        <v>116</v>
      </c>
      <c r="C413" s="2" t="s">
        <v>134</v>
      </c>
      <c r="D413" s="2" t="s">
        <v>138</v>
      </c>
      <c r="E413" s="4"/>
    </row>
    <row r="414" spans="1:5" x14ac:dyDescent="0.25">
      <c r="A414">
        <v>60404</v>
      </c>
      <c r="B414" s="2" t="s">
        <v>321</v>
      </c>
      <c r="C414" s="2" t="s">
        <v>345</v>
      </c>
      <c r="D414" s="2" t="s">
        <v>138</v>
      </c>
      <c r="E414" s="4"/>
    </row>
    <row r="415" spans="1:5" x14ac:dyDescent="0.25">
      <c r="A415">
        <v>90404</v>
      </c>
      <c r="B415" s="2" t="s">
        <v>508</v>
      </c>
      <c r="C415" s="2" t="s">
        <v>425</v>
      </c>
      <c r="D415" s="2" t="s">
        <v>138</v>
      </c>
      <c r="E415" s="4"/>
    </row>
    <row r="416" spans="1:5" x14ac:dyDescent="0.25">
      <c r="A416">
        <v>70309</v>
      </c>
      <c r="B416" s="2" t="s">
        <v>374</v>
      </c>
      <c r="C416" s="2" t="s">
        <v>374</v>
      </c>
      <c r="D416" s="2" t="s">
        <v>413</v>
      </c>
      <c r="E416" s="4"/>
    </row>
    <row r="417" spans="1:5" x14ac:dyDescent="0.25">
      <c r="A417">
        <v>20307</v>
      </c>
      <c r="B417" s="2" t="s">
        <v>116</v>
      </c>
      <c r="C417" s="2" t="s">
        <v>134</v>
      </c>
      <c r="D417" s="2" t="s">
        <v>678</v>
      </c>
      <c r="E417" s="4"/>
    </row>
    <row r="418" spans="1:5" x14ac:dyDescent="0.25">
      <c r="A418">
        <v>90507</v>
      </c>
      <c r="B418" s="2" t="s">
        <v>508</v>
      </c>
      <c r="C418" s="2" t="s">
        <v>426</v>
      </c>
      <c r="D418" s="2" t="s">
        <v>542</v>
      </c>
      <c r="E418" s="4"/>
    </row>
    <row r="419" spans="1:5" ht="24" x14ac:dyDescent="0.25">
      <c r="A419">
        <v>120903</v>
      </c>
      <c r="B419" s="2" t="s">
        <v>608</v>
      </c>
      <c r="C419" s="2" t="s">
        <v>726</v>
      </c>
      <c r="D419" s="2" t="s">
        <v>729</v>
      </c>
      <c r="E419" s="4"/>
    </row>
    <row r="420" spans="1:5" x14ac:dyDescent="0.25">
      <c r="A420">
        <v>40708</v>
      </c>
      <c r="B420" s="2" t="s">
        <v>205</v>
      </c>
      <c r="C420" s="2" t="s">
        <v>255</v>
      </c>
      <c r="D420" s="2" t="s">
        <v>263</v>
      </c>
      <c r="E420" s="4">
        <v>0</v>
      </c>
    </row>
    <row r="421" spans="1:5" x14ac:dyDescent="0.25">
      <c r="A421">
        <v>91008</v>
      </c>
      <c r="B421" s="2" t="s">
        <v>508</v>
      </c>
      <c r="C421" s="2" t="s">
        <v>573</v>
      </c>
      <c r="D421" s="2" t="s">
        <v>263</v>
      </c>
      <c r="E421" s="4">
        <v>0</v>
      </c>
    </row>
    <row r="422" spans="1:5" x14ac:dyDescent="0.25">
      <c r="A422">
        <v>40703</v>
      </c>
      <c r="B422" s="2" t="s">
        <v>205</v>
      </c>
      <c r="C422" s="2" t="s">
        <v>255</v>
      </c>
      <c r="D422" s="2" t="s">
        <v>258</v>
      </c>
      <c r="E422" s="4"/>
    </row>
    <row r="423" spans="1:5" x14ac:dyDescent="0.25">
      <c r="A423">
        <v>40803</v>
      </c>
      <c r="B423" s="2" t="s">
        <v>205</v>
      </c>
      <c r="C423" s="2" t="s">
        <v>264</v>
      </c>
      <c r="D423" s="2" t="s">
        <v>266</v>
      </c>
      <c r="E423" s="4">
        <v>0</v>
      </c>
    </row>
    <row r="424" spans="1:5" x14ac:dyDescent="0.25">
      <c r="A424">
        <v>70307</v>
      </c>
      <c r="B424" s="2" t="s">
        <v>374</v>
      </c>
      <c r="C424" s="2" t="s">
        <v>374</v>
      </c>
      <c r="D424" s="2" t="s">
        <v>266</v>
      </c>
      <c r="E424" s="4"/>
    </row>
    <row r="425" spans="1:5" x14ac:dyDescent="0.25">
      <c r="A425">
        <v>70502</v>
      </c>
      <c r="B425" s="2" t="s">
        <v>374</v>
      </c>
      <c r="C425" s="2" t="s">
        <v>429</v>
      </c>
      <c r="D425" s="2" t="s">
        <v>431</v>
      </c>
      <c r="E425" s="4"/>
    </row>
    <row r="426" spans="1:5" x14ac:dyDescent="0.25">
      <c r="A426">
        <v>60705</v>
      </c>
      <c r="B426" s="2" t="s">
        <v>321</v>
      </c>
      <c r="C426" s="2" t="s">
        <v>368</v>
      </c>
      <c r="D426" s="2" t="s">
        <v>373</v>
      </c>
      <c r="E426" s="4">
        <v>0</v>
      </c>
    </row>
    <row r="427" spans="1:5" x14ac:dyDescent="0.25">
      <c r="A427">
        <v>60503</v>
      </c>
      <c r="B427" s="2" t="s">
        <v>321</v>
      </c>
      <c r="C427" s="2" t="s">
        <v>352</v>
      </c>
      <c r="D427" s="2" t="s">
        <v>354</v>
      </c>
      <c r="E427" s="4"/>
    </row>
    <row r="428" spans="1:5" x14ac:dyDescent="0.25">
      <c r="A428">
        <v>90703</v>
      </c>
      <c r="B428" s="2" t="s">
        <v>508</v>
      </c>
      <c r="C428" s="2" t="s">
        <v>556</v>
      </c>
      <c r="D428" s="2" t="s">
        <v>354</v>
      </c>
      <c r="E428" s="4"/>
    </row>
    <row r="429" spans="1:5" x14ac:dyDescent="0.25">
      <c r="A429">
        <v>60307</v>
      </c>
      <c r="B429" s="2" t="s">
        <v>321</v>
      </c>
      <c r="C429" s="2" t="s">
        <v>336</v>
      </c>
      <c r="D429" s="2" t="s">
        <v>342</v>
      </c>
      <c r="E429" s="4"/>
    </row>
    <row r="430" spans="1:5" x14ac:dyDescent="0.25">
      <c r="A430">
        <v>60308</v>
      </c>
      <c r="B430" s="2" t="s">
        <v>321</v>
      </c>
      <c r="C430" s="2" t="s">
        <v>336</v>
      </c>
      <c r="D430" s="2" t="s">
        <v>343</v>
      </c>
      <c r="E430" s="4"/>
    </row>
    <row r="431" spans="1:5" x14ac:dyDescent="0.25">
      <c r="A431">
        <v>130713</v>
      </c>
      <c r="B431" s="2" t="s">
        <v>732</v>
      </c>
      <c r="C431" s="2" t="s">
        <v>763</v>
      </c>
      <c r="D431" s="2" t="s">
        <v>774</v>
      </c>
      <c r="E431" s="4">
        <v>0</v>
      </c>
    </row>
    <row r="432" spans="1:5" x14ac:dyDescent="0.25">
      <c r="A432">
        <v>90803</v>
      </c>
      <c r="B432" s="2" t="s">
        <v>508</v>
      </c>
      <c r="C432" s="2" t="s">
        <v>479</v>
      </c>
      <c r="D432" s="2" t="s">
        <v>562</v>
      </c>
      <c r="E432" s="4"/>
    </row>
    <row r="433" spans="1:5" x14ac:dyDescent="0.25">
      <c r="A433">
        <v>130908</v>
      </c>
      <c r="B433" s="2" t="s">
        <v>732</v>
      </c>
      <c r="C433" s="2" t="s">
        <v>252</v>
      </c>
      <c r="D433" s="2" t="s">
        <v>783</v>
      </c>
      <c r="E433" s="4">
        <v>0</v>
      </c>
    </row>
    <row r="434" spans="1:5" x14ac:dyDescent="0.25">
      <c r="A434">
        <v>60403</v>
      </c>
      <c r="B434" s="2" t="s">
        <v>321</v>
      </c>
      <c r="C434" s="2" t="s">
        <v>345</v>
      </c>
      <c r="D434" s="2" t="s">
        <v>348</v>
      </c>
      <c r="E434" s="4"/>
    </row>
    <row r="435" spans="1:5" x14ac:dyDescent="0.25">
      <c r="A435">
        <v>90406</v>
      </c>
      <c r="B435" s="2" t="s">
        <v>508</v>
      </c>
      <c r="C435" s="2" t="s">
        <v>425</v>
      </c>
      <c r="D435" s="2" t="s">
        <v>537</v>
      </c>
      <c r="E435" s="4">
        <v>0</v>
      </c>
    </row>
    <row r="436" spans="1:5" x14ac:dyDescent="0.25">
      <c r="A436">
        <v>40406</v>
      </c>
      <c r="B436" s="2" t="s">
        <v>205</v>
      </c>
      <c r="C436" s="2" t="s">
        <v>231</v>
      </c>
      <c r="D436" s="2" t="s">
        <v>236</v>
      </c>
      <c r="E436" s="4"/>
    </row>
    <row r="437" spans="1:5" x14ac:dyDescent="0.25">
      <c r="A437">
        <v>70308</v>
      </c>
      <c r="B437" s="2" t="s">
        <v>374</v>
      </c>
      <c r="C437" s="2" t="s">
        <v>374</v>
      </c>
      <c r="D437" s="2" t="s">
        <v>412</v>
      </c>
      <c r="E437" s="4">
        <v>0</v>
      </c>
    </row>
    <row r="438" spans="1:5" x14ac:dyDescent="0.25">
      <c r="A438">
        <v>60301</v>
      </c>
      <c r="B438" s="2" t="s">
        <v>321</v>
      </c>
      <c r="C438" s="2" t="s">
        <v>336</v>
      </c>
      <c r="D438" s="2" t="s">
        <v>337</v>
      </c>
      <c r="E438" s="4">
        <v>0</v>
      </c>
    </row>
    <row r="439" spans="1:5" x14ac:dyDescent="0.25">
      <c r="A439">
        <v>90304</v>
      </c>
      <c r="B439" s="2" t="s">
        <v>508</v>
      </c>
      <c r="C439" s="2" t="s">
        <v>526</v>
      </c>
      <c r="D439" s="2" t="s">
        <v>530</v>
      </c>
      <c r="E439" s="4"/>
    </row>
    <row r="440" spans="1:5" x14ac:dyDescent="0.25">
      <c r="A440">
        <v>70401</v>
      </c>
      <c r="B440" s="2" t="s">
        <v>374</v>
      </c>
      <c r="C440" s="2" t="s">
        <v>418</v>
      </c>
      <c r="D440" s="2" t="s">
        <v>419</v>
      </c>
      <c r="E440" s="4">
        <v>0</v>
      </c>
    </row>
    <row r="441" spans="1:5" ht="24" x14ac:dyDescent="0.25">
      <c r="A441">
        <v>120804</v>
      </c>
      <c r="B441" s="2" t="s">
        <v>608</v>
      </c>
      <c r="C441" s="2" t="s">
        <v>720</v>
      </c>
      <c r="D441" s="2" t="s">
        <v>724</v>
      </c>
      <c r="E441" s="4"/>
    </row>
    <row r="442" spans="1:5" x14ac:dyDescent="0.25">
      <c r="A442">
        <v>90513</v>
      </c>
      <c r="B442" s="2" t="s">
        <v>508</v>
      </c>
      <c r="C442" s="2" t="s">
        <v>426</v>
      </c>
      <c r="D442" s="2" t="s">
        <v>705</v>
      </c>
      <c r="E442" s="4"/>
    </row>
    <row r="443" spans="1:5" ht="24" x14ac:dyDescent="0.25">
      <c r="A443">
        <v>110103</v>
      </c>
      <c r="B443" s="2" t="s">
        <v>601</v>
      </c>
      <c r="C443" s="2" t="s">
        <v>602</v>
      </c>
      <c r="D443" s="2" t="s">
        <v>605</v>
      </c>
      <c r="E443" s="4">
        <v>0</v>
      </c>
    </row>
    <row r="444" spans="1:5" ht="24" x14ac:dyDescent="0.25">
      <c r="A444">
        <v>120307</v>
      </c>
      <c r="B444" s="2" t="s">
        <v>608</v>
      </c>
      <c r="C444" s="2" t="s">
        <v>627</v>
      </c>
      <c r="D444" s="2" t="s">
        <v>634</v>
      </c>
      <c r="E444" s="4"/>
    </row>
    <row r="445" spans="1:5" x14ac:dyDescent="0.25">
      <c r="A445">
        <v>30405</v>
      </c>
      <c r="B445" s="2" t="s">
        <v>164</v>
      </c>
      <c r="C445" s="2" t="s">
        <v>192</v>
      </c>
      <c r="D445" s="2" t="s">
        <v>197</v>
      </c>
      <c r="E445" s="4">
        <v>0</v>
      </c>
    </row>
    <row r="446" spans="1:5" x14ac:dyDescent="0.25">
      <c r="A446">
        <v>70503</v>
      </c>
      <c r="B446" s="2" t="s">
        <v>374</v>
      </c>
      <c r="C446" s="2" t="s">
        <v>429</v>
      </c>
      <c r="D446" s="2" t="s">
        <v>432</v>
      </c>
      <c r="E446" s="4"/>
    </row>
    <row r="447" spans="1:5" x14ac:dyDescent="0.25">
      <c r="A447">
        <v>81004</v>
      </c>
      <c r="B447" s="2" t="s">
        <v>451</v>
      </c>
      <c r="C447" s="2" t="s">
        <v>494</v>
      </c>
      <c r="D447" s="2" t="s">
        <v>498</v>
      </c>
      <c r="E447" s="4">
        <v>2</v>
      </c>
    </row>
    <row r="448" spans="1:5" x14ac:dyDescent="0.25">
      <c r="A448">
        <v>60407</v>
      </c>
      <c r="B448" s="2" t="s">
        <v>321</v>
      </c>
      <c r="C448" s="2" t="s">
        <v>345</v>
      </c>
      <c r="D448" s="2" t="s">
        <v>351</v>
      </c>
      <c r="E448" s="4"/>
    </row>
    <row r="449" spans="1:5" x14ac:dyDescent="0.25">
      <c r="A449">
        <v>130714</v>
      </c>
      <c r="B449" s="2" t="s">
        <v>732</v>
      </c>
      <c r="C449" s="2" t="s">
        <v>763</v>
      </c>
      <c r="D449" s="2" t="s">
        <v>775</v>
      </c>
      <c r="E449" s="4">
        <v>1</v>
      </c>
    </row>
    <row r="450" spans="1:5" x14ac:dyDescent="0.25">
      <c r="A450">
        <v>130714</v>
      </c>
      <c r="B450" s="2" t="s">
        <v>732</v>
      </c>
      <c r="C450" s="2" t="s">
        <v>763</v>
      </c>
      <c r="D450" s="2" t="s">
        <v>775</v>
      </c>
      <c r="E450" s="4">
        <v>1</v>
      </c>
    </row>
    <row r="451" spans="1:5" x14ac:dyDescent="0.25">
      <c r="A451">
        <v>50208</v>
      </c>
      <c r="B451" s="2" t="s">
        <v>301</v>
      </c>
      <c r="C451" s="2" t="s">
        <v>312</v>
      </c>
      <c r="D451" s="2" t="s">
        <v>319</v>
      </c>
      <c r="E451" s="4">
        <v>1</v>
      </c>
    </row>
    <row r="452" spans="1:5" ht="24" x14ac:dyDescent="0.25">
      <c r="A452">
        <v>30301</v>
      </c>
      <c r="B452" s="2" t="s">
        <v>164</v>
      </c>
      <c r="C452" s="2" t="s">
        <v>187</v>
      </c>
      <c r="D452" s="2" t="s">
        <v>188</v>
      </c>
      <c r="E452" s="4"/>
    </row>
    <row r="453" spans="1:5" x14ac:dyDescent="0.25">
      <c r="A453">
        <v>10302</v>
      </c>
      <c r="B453" s="2" t="s">
        <v>92</v>
      </c>
      <c r="C453" s="2" t="s">
        <v>109</v>
      </c>
      <c r="D453" s="2" t="s">
        <v>111</v>
      </c>
      <c r="E453" s="4">
        <v>0</v>
      </c>
    </row>
    <row r="454" spans="1:5" x14ac:dyDescent="0.25">
      <c r="A454">
        <v>30503</v>
      </c>
      <c r="B454" s="2" t="s">
        <v>164</v>
      </c>
      <c r="C454" s="2" t="s">
        <v>198</v>
      </c>
      <c r="D454" s="2" t="s">
        <v>111</v>
      </c>
      <c r="E454" s="4"/>
    </row>
    <row r="455" spans="1:5" x14ac:dyDescent="0.25">
      <c r="A455">
        <v>70411</v>
      </c>
      <c r="B455" s="2" t="s">
        <v>374</v>
      </c>
      <c r="C455" s="2" t="s">
        <v>418</v>
      </c>
      <c r="D455" s="2" t="s">
        <v>428</v>
      </c>
      <c r="E455" s="4"/>
    </row>
    <row r="456" spans="1:5" x14ac:dyDescent="0.25">
      <c r="A456">
        <v>60103</v>
      </c>
      <c r="B456" s="2" t="s">
        <v>321</v>
      </c>
      <c r="C456" s="2" t="s">
        <v>322</v>
      </c>
      <c r="D456" s="2" t="s">
        <v>325</v>
      </c>
      <c r="E456" s="4">
        <v>0</v>
      </c>
    </row>
    <row r="457" spans="1:5" x14ac:dyDescent="0.25">
      <c r="A457">
        <v>90211</v>
      </c>
      <c r="B457" s="2" t="s">
        <v>508</v>
      </c>
      <c r="C457" s="2" t="s">
        <v>515</v>
      </c>
      <c r="D457" s="2" t="s">
        <v>525</v>
      </c>
      <c r="E457" s="4"/>
    </row>
    <row r="458" spans="1:5" x14ac:dyDescent="0.25">
      <c r="A458">
        <v>41004</v>
      </c>
      <c r="B458" s="2" t="s">
        <v>205</v>
      </c>
      <c r="C458" s="2" t="s">
        <v>275</v>
      </c>
      <c r="D458" s="2" t="s">
        <v>279</v>
      </c>
      <c r="E458" s="4"/>
    </row>
    <row r="459" spans="1:5" x14ac:dyDescent="0.25">
      <c r="A459">
        <v>90601</v>
      </c>
      <c r="B459" s="2" t="s">
        <v>508</v>
      </c>
      <c r="C459" s="2" t="s">
        <v>548</v>
      </c>
      <c r="D459" s="2" t="s">
        <v>549</v>
      </c>
      <c r="E459" s="4">
        <v>0</v>
      </c>
    </row>
    <row r="460" spans="1:5" ht="24" x14ac:dyDescent="0.25">
      <c r="A460">
        <v>120316</v>
      </c>
      <c r="B460" s="2" t="s">
        <v>608</v>
      </c>
      <c r="C460" s="2" t="s">
        <v>627</v>
      </c>
      <c r="D460" s="2" t="s">
        <v>715</v>
      </c>
      <c r="E460" s="4"/>
    </row>
    <row r="461" spans="1:5" ht="24" x14ac:dyDescent="0.25">
      <c r="A461">
        <v>120606</v>
      </c>
      <c r="B461" s="2" t="s">
        <v>608</v>
      </c>
      <c r="C461" s="2" t="s">
        <v>655</v>
      </c>
      <c r="D461" s="2" t="s">
        <v>658</v>
      </c>
      <c r="E461" s="4"/>
    </row>
    <row r="462" spans="1:5" ht="24" x14ac:dyDescent="0.25">
      <c r="A462">
        <v>120107</v>
      </c>
      <c r="B462" s="2" t="s">
        <v>608</v>
      </c>
      <c r="C462" s="2" t="s">
        <v>609</v>
      </c>
      <c r="D462" s="2" t="s">
        <v>616</v>
      </c>
      <c r="E462" s="4">
        <v>0</v>
      </c>
    </row>
    <row r="463" spans="1:5" x14ac:dyDescent="0.25">
      <c r="A463">
        <v>10404</v>
      </c>
      <c r="B463" s="2" t="s">
        <v>92</v>
      </c>
      <c r="C463" s="2" t="s">
        <v>98</v>
      </c>
      <c r="D463" s="2" t="s">
        <v>671</v>
      </c>
      <c r="E463" s="4"/>
    </row>
    <row r="464" spans="1:5" ht="24" x14ac:dyDescent="0.25">
      <c r="A464">
        <v>100101</v>
      </c>
      <c r="B464" s="2" t="s">
        <v>596</v>
      </c>
      <c r="C464" s="2" t="s">
        <v>596</v>
      </c>
      <c r="D464" s="2" t="s">
        <v>597</v>
      </c>
      <c r="E464" s="4">
        <v>12</v>
      </c>
    </row>
    <row r="465" spans="1:5" x14ac:dyDescent="0.25">
      <c r="A465">
        <v>20401</v>
      </c>
      <c r="B465" s="2" t="s">
        <v>116</v>
      </c>
      <c r="C465" s="2" t="s">
        <v>141</v>
      </c>
      <c r="D465" s="2" t="s">
        <v>142</v>
      </c>
      <c r="E465" s="4">
        <v>1</v>
      </c>
    </row>
    <row r="466" spans="1:5" ht="24" x14ac:dyDescent="0.25">
      <c r="A466">
        <v>120108</v>
      </c>
      <c r="B466" s="2" t="s">
        <v>608</v>
      </c>
      <c r="C466" s="2" t="s">
        <v>609</v>
      </c>
      <c r="D466" s="2" t="s">
        <v>617</v>
      </c>
      <c r="E466" s="4">
        <v>0</v>
      </c>
    </row>
    <row r="467" spans="1:5" ht="24" x14ac:dyDescent="0.25">
      <c r="A467">
        <v>120308</v>
      </c>
      <c r="B467" s="2" t="s">
        <v>608</v>
      </c>
      <c r="C467" s="2" t="s">
        <v>627</v>
      </c>
      <c r="D467" s="2" t="s">
        <v>635</v>
      </c>
      <c r="E467" s="4"/>
    </row>
    <row r="468" spans="1:5" x14ac:dyDescent="0.25">
      <c r="A468">
        <v>30504</v>
      </c>
      <c r="B468" s="2" t="s">
        <v>164</v>
      </c>
      <c r="C468" s="2" t="s">
        <v>198</v>
      </c>
      <c r="D468" s="2" t="s">
        <v>201</v>
      </c>
      <c r="E468" s="4"/>
    </row>
    <row r="469" spans="1:5" x14ac:dyDescent="0.25">
      <c r="A469">
        <v>70215</v>
      </c>
      <c r="B469" s="2" t="s">
        <v>374</v>
      </c>
      <c r="C469" s="2" t="s">
        <v>105</v>
      </c>
      <c r="D469" s="2" t="s">
        <v>399</v>
      </c>
      <c r="E469" s="4"/>
    </row>
    <row r="470" spans="1:5" x14ac:dyDescent="0.25">
      <c r="A470">
        <v>41404</v>
      </c>
      <c r="B470" s="2" t="s">
        <v>205</v>
      </c>
      <c r="C470" s="2" t="s">
        <v>689</v>
      </c>
      <c r="D470" s="2" t="s">
        <v>693</v>
      </c>
      <c r="E470" s="4">
        <v>0</v>
      </c>
    </row>
    <row r="471" spans="1:5" ht="24" x14ac:dyDescent="0.25">
      <c r="A471">
        <v>30602</v>
      </c>
      <c r="B471" s="2" t="s">
        <v>164</v>
      </c>
      <c r="C471" s="2" t="s">
        <v>681</v>
      </c>
      <c r="D471" s="2" t="s">
        <v>683</v>
      </c>
      <c r="E471" s="4">
        <v>3</v>
      </c>
    </row>
    <row r="472" spans="1:5" x14ac:dyDescent="0.25">
      <c r="A472">
        <v>130408</v>
      </c>
      <c r="B472" s="2" t="s">
        <v>732</v>
      </c>
      <c r="C472" s="2" t="s">
        <v>753</v>
      </c>
      <c r="D472" s="2" t="s">
        <v>759</v>
      </c>
      <c r="E472" s="4">
        <v>0</v>
      </c>
    </row>
    <row r="473" spans="1:5" x14ac:dyDescent="0.25">
      <c r="A473">
        <v>30109</v>
      </c>
      <c r="B473" s="2" t="s">
        <v>164</v>
      </c>
      <c r="C473" s="2" t="s">
        <v>164</v>
      </c>
      <c r="D473" s="2" t="s">
        <v>172</v>
      </c>
      <c r="E473" s="4">
        <v>0</v>
      </c>
    </row>
    <row r="474" spans="1:5" x14ac:dyDescent="0.25">
      <c r="A474">
        <v>30201</v>
      </c>
      <c r="B474" s="2" t="s">
        <v>164</v>
      </c>
      <c r="C474" s="2" t="s">
        <v>179</v>
      </c>
      <c r="D474" s="2" t="s">
        <v>180</v>
      </c>
      <c r="E474" s="4"/>
    </row>
    <row r="475" spans="1:5" x14ac:dyDescent="0.25">
      <c r="A475">
        <v>130103</v>
      </c>
      <c r="B475" s="2" t="s">
        <v>732</v>
      </c>
      <c r="C475" s="2" t="s">
        <v>733</v>
      </c>
      <c r="D475" s="2" t="s">
        <v>736</v>
      </c>
      <c r="E475" s="4">
        <v>2</v>
      </c>
    </row>
    <row r="476" spans="1:5" x14ac:dyDescent="0.25">
      <c r="A476">
        <v>130103</v>
      </c>
      <c r="B476" s="2" t="s">
        <v>732</v>
      </c>
      <c r="C476" s="2" t="s">
        <v>733</v>
      </c>
      <c r="D476" s="2" t="s">
        <v>736</v>
      </c>
      <c r="E476" s="4">
        <v>2</v>
      </c>
    </row>
    <row r="477" spans="1:5" x14ac:dyDescent="0.25">
      <c r="A477">
        <v>40109</v>
      </c>
      <c r="B477" s="2" t="s">
        <v>205</v>
      </c>
      <c r="C477" s="2" t="s">
        <v>206</v>
      </c>
      <c r="D477" s="2" t="s">
        <v>215</v>
      </c>
      <c r="E477" s="4">
        <v>1</v>
      </c>
    </row>
    <row r="478" spans="1:5" x14ac:dyDescent="0.25">
      <c r="A478">
        <v>91014</v>
      </c>
      <c r="B478" s="2" t="s">
        <v>508</v>
      </c>
      <c r="C478" s="2" t="s">
        <v>573</v>
      </c>
      <c r="D478" s="2" t="s">
        <v>707</v>
      </c>
      <c r="E478" s="4">
        <v>0</v>
      </c>
    </row>
    <row r="479" spans="1:5" x14ac:dyDescent="0.25">
      <c r="A479">
        <v>130715</v>
      </c>
      <c r="B479" s="2" t="s">
        <v>732</v>
      </c>
      <c r="C479" s="2" t="s">
        <v>763</v>
      </c>
      <c r="D479" s="2" t="s">
        <v>776</v>
      </c>
      <c r="E479" s="4">
        <v>0</v>
      </c>
    </row>
    <row r="480" spans="1:5" x14ac:dyDescent="0.25">
      <c r="A480">
        <v>60401</v>
      </c>
      <c r="B480" s="2" t="s">
        <v>321</v>
      </c>
      <c r="C480" s="2" t="s">
        <v>345</v>
      </c>
      <c r="D480" s="2" t="s">
        <v>346</v>
      </c>
      <c r="E480" s="4">
        <v>0</v>
      </c>
    </row>
    <row r="481" spans="1:5" x14ac:dyDescent="0.25">
      <c r="A481">
        <v>20501</v>
      </c>
      <c r="B481" s="2" t="s">
        <v>116</v>
      </c>
      <c r="C481" s="2" t="s">
        <v>148</v>
      </c>
      <c r="D481" s="2" t="s">
        <v>149</v>
      </c>
      <c r="E481" s="4">
        <v>0</v>
      </c>
    </row>
    <row r="482" spans="1:5" x14ac:dyDescent="0.25">
      <c r="A482">
        <v>81008</v>
      </c>
      <c r="B482" s="2" t="s">
        <v>451</v>
      </c>
      <c r="C482" s="2" t="s">
        <v>494</v>
      </c>
      <c r="D482" s="2" t="s">
        <v>502</v>
      </c>
      <c r="E482" s="4">
        <v>5</v>
      </c>
    </row>
    <row r="483" spans="1:5" x14ac:dyDescent="0.25">
      <c r="A483">
        <v>70505</v>
      </c>
      <c r="B483" s="2" t="s">
        <v>374</v>
      </c>
      <c r="C483" s="2" t="s">
        <v>429</v>
      </c>
      <c r="D483" s="2" t="s">
        <v>434</v>
      </c>
      <c r="E483" s="4"/>
    </row>
    <row r="484" spans="1:5" x14ac:dyDescent="0.25">
      <c r="A484">
        <v>81102</v>
      </c>
      <c r="B484" s="2" t="s">
        <v>451</v>
      </c>
      <c r="C484" s="2" t="s">
        <v>504</v>
      </c>
      <c r="D484" s="2" t="s">
        <v>506</v>
      </c>
      <c r="E484" s="4"/>
    </row>
    <row r="485" spans="1:5" x14ac:dyDescent="0.25">
      <c r="A485">
        <v>81103</v>
      </c>
      <c r="B485" s="2" t="s">
        <v>451</v>
      </c>
      <c r="C485" s="2" t="s">
        <v>504</v>
      </c>
      <c r="D485" s="2" t="s">
        <v>507</v>
      </c>
      <c r="E485" s="4"/>
    </row>
    <row r="486" spans="1:5" x14ac:dyDescent="0.25">
      <c r="A486">
        <v>80817</v>
      </c>
      <c r="B486" s="2" t="s">
        <v>451</v>
      </c>
      <c r="C486" s="2" t="s">
        <v>451</v>
      </c>
      <c r="D486" s="2" t="s">
        <v>486</v>
      </c>
      <c r="E486" s="4">
        <v>3</v>
      </c>
    </row>
    <row r="487" spans="1:5" x14ac:dyDescent="0.25">
      <c r="A487">
        <v>40804</v>
      </c>
      <c r="B487" s="2" t="s">
        <v>205</v>
      </c>
      <c r="C487" s="2" t="s">
        <v>264</v>
      </c>
      <c r="D487" s="2" t="s">
        <v>267</v>
      </c>
      <c r="E487" s="4"/>
    </row>
    <row r="488" spans="1:5" x14ac:dyDescent="0.25">
      <c r="A488">
        <v>20606</v>
      </c>
      <c r="B488" s="2" t="s">
        <v>116</v>
      </c>
      <c r="C488" s="2" t="s">
        <v>154</v>
      </c>
      <c r="D488" s="2" t="s">
        <v>159</v>
      </c>
      <c r="E488" s="4">
        <v>0</v>
      </c>
    </row>
    <row r="489" spans="1:5" x14ac:dyDescent="0.25">
      <c r="A489">
        <v>30501</v>
      </c>
      <c r="B489" s="2" t="s">
        <v>164</v>
      </c>
      <c r="C489" s="2" t="s">
        <v>198</v>
      </c>
      <c r="D489" s="2" t="s">
        <v>199</v>
      </c>
      <c r="E489" s="4"/>
    </row>
    <row r="490" spans="1:5" x14ac:dyDescent="0.25">
      <c r="A490">
        <v>30205</v>
      </c>
      <c r="B490" s="2" t="s">
        <v>164</v>
      </c>
      <c r="C490" s="2" t="s">
        <v>179</v>
      </c>
      <c r="D490" s="2" t="s">
        <v>184</v>
      </c>
      <c r="E490" s="4">
        <v>0</v>
      </c>
    </row>
    <row r="491" spans="1:5" x14ac:dyDescent="0.25">
      <c r="A491">
        <v>30505</v>
      </c>
      <c r="B491" s="2" t="s">
        <v>164</v>
      </c>
      <c r="C491" s="2" t="s">
        <v>198</v>
      </c>
      <c r="D491" s="2" t="s">
        <v>202</v>
      </c>
      <c r="E491" s="4"/>
    </row>
    <row r="492" spans="1:5" x14ac:dyDescent="0.25">
      <c r="A492">
        <v>40403</v>
      </c>
      <c r="B492" s="2" t="s">
        <v>205</v>
      </c>
      <c r="C492" s="2" t="s">
        <v>231</v>
      </c>
      <c r="D492" s="2" t="s">
        <v>202</v>
      </c>
      <c r="E492" s="4"/>
    </row>
    <row r="493" spans="1:5" x14ac:dyDescent="0.25">
      <c r="A493">
        <v>70216</v>
      </c>
      <c r="B493" s="2" t="s">
        <v>374</v>
      </c>
      <c r="C493" s="2" t="s">
        <v>105</v>
      </c>
      <c r="D493" s="2" t="s">
        <v>202</v>
      </c>
      <c r="E493" s="4"/>
    </row>
    <row r="494" spans="1:5" x14ac:dyDescent="0.25">
      <c r="A494">
        <v>40105</v>
      </c>
      <c r="B494" s="2" t="s">
        <v>205</v>
      </c>
      <c r="C494" s="2" t="s">
        <v>206</v>
      </c>
      <c r="D494" s="2" t="s">
        <v>211</v>
      </c>
      <c r="E494" s="4"/>
    </row>
    <row r="495" spans="1:5" x14ac:dyDescent="0.25">
      <c r="A495">
        <v>40306</v>
      </c>
      <c r="B495" s="2" t="s">
        <v>205</v>
      </c>
      <c r="C495" s="2" t="s">
        <v>222</v>
      </c>
      <c r="D495" s="2" t="s">
        <v>228</v>
      </c>
      <c r="E495" s="4"/>
    </row>
    <row r="496" spans="1:5" x14ac:dyDescent="0.25">
      <c r="A496">
        <v>70604</v>
      </c>
      <c r="B496" s="2" t="s">
        <v>374</v>
      </c>
      <c r="C496" s="2" t="s">
        <v>121</v>
      </c>
      <c r="D496" s="2" t="s">
        <v>228</v>
      </c>
      <c r="E496" s="4"/>
    </row>
    <row r="497" spans="1:5" x14ac:dyDescent="0.25">
      <c r="A497">
        <v>60505</v>
      </c>
      <c r="B497" s="2" t="s">
        <v>321</v>
      </c>
      <c r="C497" s="2" t="s">
        <v>352</v>
      </c>
      <c r="D497" s="2" t="s">
        <v>356</v>
      </c>
      <c r="E497" s="4">
        <v>0</v>
      </c>
    </row>
    <row r="498" spans="1:5" x14ac:dyDescent="0.25">
      <c r="A498">
        <v>60501</v>
      </c>
      <c r="B498" s="2" t="s">
        <v>321</v>
      </c>
      <c r="C498" s="2" t="s">
        <v>352</v>
      </c>
      <c r="D498" s="2" t="s">
        <v>353</v>
      </c>
      <c r="E498" s="4">
        <v>0</v>
      </c>
    </row>
    <row r="499" spans="1:5" x14ac:dyDescent="0.25">
      <c r="A499">
        <v>70605</v>
      </c>
      <c r="B499" s="2" t="s">
        <v>374</v>
      </c>
      <c r="C499" s="2" t="s">
        <v>121</v>
      </c>
      <c r="D499" s="2" t="s">
        <v>438</v>
      </c>
      <c r="E499" s="4"/>
    </row>
    <row r="500" spans="1:5" x14ac:dyDescent="0.25">
      <c r="A500">
        <v>80810</v>
      </c>
      <c r="B500" s="2" t="s">
        <v>451</v>
      </c>
      <c r="C500" s="2" t="s">
        <v>451</v>
      </c>
      <c r="D500" s="2" t="s">
        <v>480</v>
      </c>
      <c r="E500" s="4">
        <v>9</v>
      </c>
    </row>
    <row r="501" spans="1:5" x14ac:dyDescent="0.25">
      <c r="A501">
        <v>80604</v>
      </c>
      <c r="B501" s="2" t="s">
        <v>451</v>
      </c>
      <c r="C501" s="2" t="s">
        <v>467</v>
      </c>
      <c r="D501" s="2" t="s">
        <v>471</v>
      </c>
      <c r="E501" s="4"/>
    </row>
    <row r="502" spans="1:5" x14ac:dyDescent="0.25">
      <c r="A502">
        <v>41405</v>
      </c>
      <c r="B502" s="2" t="s">
        <v>205</v>
      </c>
      <c r="C502" s="2" t="s">
        <v>689</v>
      </c>
      <c r="D502" s="2" t="s">
        <v>694</v>
      </c>
      <c r="E502" s="4"/>
    </row>
    <row r="503" spans="1:5" x14ac:dyDescent="0.25">
      <c r="A503">
        <v>50203</v>
      </c>
      <c r="B503" s="2" t="s">
        <v>301</v>
      </c>
      <c r="C503" s="2" t="s">
        <v>312</v>
      </c>
      <c r="D503" s="2" t="s">
        <v>315</v>
      </c>
      <c r="E503" s="4"/>
    </row>
    <row r="504" spans="1:5" x14ac:dyDescent="0.25">
      <c r="A504">
        <v>70501</v>
      </c>
      <c r="B504" s="2" t="s">
        <v>374</v>
      </c>
      <c r="C504" s="2" t="s">
        <v>429</v>
      </c>
      <c r="D504" s="2" t="s">
        <v>430</v>
      </c>
      <c r="E504" s="4"/>
    </row>
    <row r="505" spans="1:5" x14ac:dyDescent="0.25">
      <c r="A505">
        <v>40307</v>
      </c>
      <c r="B505" s="2" t="s">
        <v>205</v>
      </c>
      <c r="C505" s="2" t="s">
        <v>222</v>
      </c>
      <c r="D505" s="2" t="s">
        <v>229</v>
      </c>
      <c r="E505" s="4"/>
    </row>
    <row r="506" spans="1:5" x14ac:dyDescent="0.25">
      <c r="A506">
        <v>40607</v>
      </c>
      <c r="B506" s="2" t="s">
        <v>205</v>
      </c>
      <c r="C506" s="2" t="s">
        <v>247</v>
      </c>
      <c r="D506" s="2" t="s">
        <v>229</v>
      </c>
      <c r="E506" s="4">
        <v>0</v>
      </c>
    </row>
    <row r="507" spans="1:5" x14ac:dyDescent="0.25">
      <c r="A507">
        <v>80813</v>
      </c>
      <c r="B507" s="2" t="s">
        <v>451</v>
      </c>
      <c r="C507" s="2" t="s">
        <v>451</v>
      </c>
      <c r="D507" s="2" t="s">
        <v>229</v>
      </c>
      <c r="E507" s="4"/>
    </row>
    <row r="508" spans="1:5" x14ac:dyDescent="0.25">
      <c r="A508">
        <v>80205</v>
      </c>
      <c r="B508" s="2" t="s">
        <v>451</v>
      </c>
      <c r="C508" s="2" t="s">
        <v>452</v>
      </c>
      <c r="D508" s="2" t="s">
        <v>457</v>
      </c>
      <c r="E508" s="4"/>
    </row>
    <row r="509" spans="1:5" x14ac:dyDescent="0.25">
      <c r="A509">
        <v>70217</v>
      </c>
      <c r="B509" s="2" t="s">
        <v>374</v>
      </c>
      <c r="C509" s="2" t="s">
        <v>105</v>
      </c>
      <c r="D509" s="2" t="s">
        <v>400</v>
      </c>
      <c r="E509" s="4"/>
    </row>
    <row r="510" spans="1:5" ht="24" x14ac:dyDescent="0.25">
      <c r="A510">
        <v>120309</v>
      </c>
      <c r="B510" s="2" t="s">
        <v>608</v>
      </c>
      <c r="C510" s="2" t="s">
        <v>627</v>
      </c>
      <c r="D510" s="2" t="s">
        <v>400</v>
      </c>
      <c r="E510" s="4"/>
    </row>
    <row r="511" spans="1:5" x14ac:dyDescent="0.25">
      <c r="A511">
        <v>60405</v>
      </c>
      <c r="B511" s="2" t="s">
        <v>321</v>
      </c>
      <c r="C511" s="2" t="s">
        <v>345</v>
      </c>
      <c r="D511" s="2" t="s">
        <v>349</v>
      </c>
      <c r="E511" s="4"/>
    </row>
    <row r="512" spans="1:5" x14ac:dyDescent="0.25">
      <c r="A512">
        <v>20601</v>
      </c>
      <c r="B512" s="2" t="s">
        <v>116</v>
      </c>
      <c r="C512" s="2" t="s">
        <v>154</v>
      </c>
      <c r="D512" s="2" t="s">
        <v>155</v>
      </c>
      <c r="E512" s="4">
        <v>1</v>
      </c>
    </row>
    <row r="513" spans="1:5" x14ac:dyDescent="0.25">
      <c r="A513">
        <v>70110</v>
      </c>
      <c r="B513" s="2" t="s">
        <v>374</v>
      </c>
      <c r="C513" s="2" t="s">
        <v>375</v>
      </c>
      <c r="D513" s="2" t="s">
        <v>385</v>
      </c>
      <c r="E513" s="4"/>
    </row>
    <row r="514" spans="1:5" x14ac:dyDescent="0.25">
      <c r="A514">
        <v>60601</v>
      </c>
      <c r="B514" s="2" t="s">
        <v>321</v>
      </c>
      <c r="C514" s="2" t="s">
        <v>359</v>
      </c>
      <c r="D514" s="2" t="s">
        <v>360</v>
      </c>
      <c r="E514" s="4">
        <v>0</v>
      </c>
    </row>
    <row r="515" spans="1:5" ht="24" x14ac:dyDescent="0.25">
      <c r="A515">
        <v>120607</v>
      </c>
      <c r="B515" s="2" t="s">
        <v>608</v>
      </c>
      <c r="C515" s="2" t="s">
        <v>655</v>
      </c>
      <c r="D515" s="2" t="s">
        <v>659</v>
      </c>
      <c r="E515" s="4"/>
    </row>
    <row r="516" spans="1:5" x14ac:dyDescent="0.25">
      <c r="A516">
        <v>20305</v>
      </c>
      <c r="B516" s="2" t="s">
        <v>116</v>
      </c>
      <c r="C516" s="2" t="s">
        <v>134</v>
      </c>
      <c r="D516" s="2" t="s">
        <v>139</v>
      </c>
      <c r="E516" s="4"/>
    </row>
    <row r="517" spans="1:5" x14ac:dyDescent="0.25">
      <c r="A517">
        <v>90605</v>
      </c>
      <c r="B517" s="2" t="s">
        <v>508</v>
      </c>
      <c r="C517" s="2" t="s">
        <v>548</v>
      </c>
      <c r="D517" s="2" t="s">
        <v>552</v>
      </c>
      <c r="E517" s="4">
        <v>0</v>
      </c>
    </row>
    <row r="518" spans="1:5" x14ac:dyDescent="0.25">
      <c r="A518">
        <v>30206</v>
      </c>
      <c r="B518" s="2" t="s">
        <v>164</v>
      </c>
      <c r="C518" s="2" t="s">
        <v>179</v>
      </c>
      <c r="D518" s="2" t="s">
        <v>185</v>
      </c>
      <c r="E518" s="4"/>
    </row>
    <row r="519" spans="1:5" x14ac:dyDescent="0.25">
      <c r="A519">
        <v>50204</v>
      </c>
      <c r="B519" s="2" t="s">
        <v>301</v>
      </c>
      <c r="C519" s="2" t="s">
        <v>312</v>
      </c>
      <c r="D519" s="2" t="s">
        <v>312</v>
      </c>
      <c r="E519" s="4">
        <v>0</v>
      </c>
    </row>
    <row r="520" spans="1:5" x14ac:dyDescent="0.25">
      <c r="A520">
        <v>90508</v>
      </c>
      <c r="B520" s="2" t="s">
        <v>508</v>
      </c>
      <c r="C520" s="2" t="s">
        <v>426</v>
      </c>
      <c r="D520" s="2" t="s">
        <v>543</v>
      </c>
      <c r="E520" s="4"/>
    </row>
    <row r="521" spans="1:5" x14ac:dyDescent="0.25">
      <c r="A521">
        <v>30506</v>
      </c>
      <c r="B521" s="2" t="s">
        <v>164</v>
      </c>
      <c r="C521" s="2" t="s">
        <v>198</v>
      </c>
      <c r="D521" s="2" t="s">
        <v>203</v>
      </c>
      <c r="E521" s="4"/>
    </row>
    <row r="522" spans="1:5" x14ac:dyDescent="0.25">
      <c r="A522">
        <v>130716</v>
      </c>
      <c r="B522" s="2" t="s">
        <v>732</v>
      </c>
      <c r="C522" s="2" t="s">
        <v>763</v>
      </c>
      <c r="D522" s="2" t="s">
        <v>777</v>
      </c>
      <c r="E522" s="4">
        <v>2</v>
      </c>
    </row>
    <row r="523" spans="1:5" x14ac:dyDescent="0.25">
      <c r="A523">
        <v>41005</v>
      </c>
      <c r="B523" s="2" t="s">
        <v>205</v>
      </c>
      <c r="C523" s="2" t="s">
        <v>275</v>
      </c>
      <c r="D523" s="2" t="s">
        <v>280</v>
      </c>
      <c r="E523" s="4">
        <v>0</v>
      </c>
    </row>
    <row r="524" spans="1:5" x14ac:dyDescent="0.25">
      <c r="A524">
        <v>20104</v>
      </c>
      <c r="B524" s="2" t="s">
        <v>116</v>
      </c>
      <c r="C524" s="2" t="s">
        <v>117</v>
      </c>
      <c r="D524" s="2" t="s">
        <v>121</v>
      </c>
      <c r="E524" s="4">
        <v>0</v>
      </c>
    </row>
    <row r="525" spans="1:5" x14ac:dyDescent="0.25">
      <c r="A525">
        <v>70601</v>
      </c>
      <c r="B525" s="2" t="s">
        <v>374</v>
      </c>
      <c r="C525" s="2" t="s">
        <v>121</v>
      </c>
      <c r="D525" s="2" t="s">
        <v>435</v>
      </c>
      <c r="E525" s="4"/>
    </row>
    <row r="526" spans="1:5" x14ac:dyDescent="0.25">
      <c r="A526">
        <v>91005</v>
      </c>
      <c r="B526" s="2" t="s">
        <v>508</v>
      </c>
      <c r="C526" s="2" t="s">
        <v>573</v>
      </c>
      <c r="D526" s="2" t="s">
        <v>577</v>
      </c>
      <c r="E526" s="4">
        <v>0</v>
      </c>
    </row>
    <row r="527" spans="1:5" x14ac:dyDescent="0.25">
      <c r="A527">
        <v>60506</v>
      </c>
      <c r="B527" s="2" t="s">
        <v>321</v>
      </c>
      <c r="C527" s="2" t="s">
        <v>352</v>
      </c>
      <c r="D527" s="2" t="s">
        <v>357</v>
      </c>
      <c r="E527" s="4"/>
    </row>
    <row r="528" spans="1:5" x14ac:dyDescent="0.25">
      <c r="A528">
        <v>30401</v>
      </c>
      <c r="B528" s="2" t="s">
        <v>164</v>
      </c>
      <c r="C528" s="2" t="s">
        <v>192</v>
      </c>
      <c r="D528" s="2" t="s">
        <v>193</v>
      </c>
      <c r="E528" s="4">
        <v>0</v>
      </c>
    </row>
    <row r="529" spans="1:5" x14ac:dyDescent="0.25">
      <c r="A529">
        <v>40704</v>
      </c>
      <c r="B529" s="2" t="s">
        <v>205</v>
      </c>
      <c r="C529" s="2" t="s">
        <v>255</v>
      </c>
      <c r="D529" s="2" t="s">
        <v>259</v>
      </c>
      <c r="E529" s="4"/>
    </row>
    <row r="530" spans="1:5" x14ac:dyDescent="0.25">
      <c r="A530">
        <v>40705</v>
      </c>
      <c r="B530" s="2" t="s">
        <v>205</v>
      </c>
      <c r="C530" s="2" t="s">
        <v>255</v>
      </c>
      <c r="D530" s="2" t="s">
        <v>260</v>
      </c>
      <c r="E530" s="4"/>
    </row>
    <row r="531" spans="1:5" x14ac:dyDescent="0.25">
      <c r="A531">
        <v>41307</v>
      </c>
      <c r="B531" s="2" t="s">
        <v>205</v>
      </c>
      <c r="C531" s="2" t="s">
        <v>292</v>
      </c>
      <c r="D531" s="2" t="s">
        <v>298</v>
      </c>
      <c r="E531" s="4"/>
    </row>
    <row r="532" spans="1:5" x14ac:dyDescent="0.25">
      <c r="A532">
        <v>60507</v>
      </c>
      <c r="B532" s="2" t="s">
        <v>321</v>
      </c>
      <c r="C532" s="2" t="s">
        <v>352</v>
      </c>
      <c r="D532" s="2" t="s">
        <v>358</v>
      </c>
      <c r="E532" s="4">
        <v>1</v>
      </c>
    </row>
    <row r="533" spans="1:5" x14ac:dyDescent="0.25">
      <c r="A533">
        <v>40203</v>
      </c>
      <c r="B533" s="2" t="s">
        <v>205</v>
      </c>
      <c r="C533" s="2" t="s">
        <v>216</v>
      </c>
      <c r="D533" s="2" t="s">
        <v>219</v>
      </c>
      <c r="E533" s="4">
        <v>0</v>
      </c>
    </row>
    <row r="534" spans="1:5" x14ac:dyDescent="0.25">
      <c r="A534">
        <v>50205</v>
      </c>
      <c r="B534" s="2" t="s">
        <v>301</v>
      </c>
      <c r="C534" s="2" t="s">
        <v>312</v>
      </c>
      <c r="D534" s="2" t="s">
        <v>316</v>
      </c>
      <c r="E534" s="4"/>
    </row>
    <row r="535" spans="1:5" x14ac:dyDescent="0.25">
      <c r="A535">
        <v>80808</v>
      </c>
      <c r="B535" s="2" t="s">
        <v>451</v>
      </c>
      <c r="C535" s="2" t="s">
        <v>451</v>
      </c>
      <c r="D535" s="2" t="s">
        <v>478</v>
      </c>
      <c r="E535" s="4">
        <v>1</v>
      </c>
    </row>
    <row r="536" spans="1:5" x14ac:dyDescent="0.25">
      <c r="A536">
        <v>20106</v>
      </c>
      <c r="B536" s="2" t="s">
        <v>116</v>
      </c>
      <c r="C536" s="2" t="s">
        <v>117</v>
      </c>
      <c r="D536" s="2" t="s">
        <v>675</v>
      </c>
      <c r="E536" s="4"/>
    </row>
    <row r="537" spans="1:5" ht="24" x14ac:dyDescent="0.25">
      <c r="A537">
        <v>40201</v>
      </c>
      <c r="B537" s="2" t="s">
        <v>205</v>
      </c>
      <c r="C537" s="2" t="s">
        <v>216</v>
      </c>
      <c r="D537" s="2" t="s">
        <v>217</v>
      </c>
      <c r="E537" s="4">
        <v>0</v>
      </c>
    </row>
    <row r="538" spans="1:5" x14ac:dyDescent="0.25">
      <c r="A538">
        <v>130717</v>
      </c>
      <c r="B538" s="2" t="s">
        <v>732</v>
      </c>
      <c r="C538" s="2" t="s">
        <v>763</v>
      </c>
      <c r="D538" s="2" t="s">
        <v>778</v>
      </c>
      <c r="E538" s="4">
        <v>1</v>
      </c>
    </row>
    <row r="539" spans="1:5" x14ac:dyDescent="0.25">
      <c r="A539">
        <v>30403</v>
      </c>
      <c r="B539" s="2" t="s">
        <v>164</v>
      </c>
      <c r="C539" s="2" t="s">
        <v>192</v>
      </c>
      <c r="D539" s="2" t="s">
        <v>195</v>
      </c>
      <c r="E539" s="4"/>
    </row>
    <row r="540" spans="1:5" ht="24" x14ac:dyDescent="0.25">
      <c r="A540">
        <v>100103</v>
      </c>
      <c r="B540" s="2" t="s">
        <v>596</v>
      </c>
      <c r="C540" s="2" t="s">
        <v>596</v>
      </c>
      <c r="D540" s="2" t="s">
        <v>599</v>
      </c>
      <c r="E540" s="4">
        <v>0</v>
      </c>
    </row>
    <row r="541" spans="1:5" x14ac:dyDescent="0.25">
      <c r="A541">
        <v>30110</v>
      </c>
      <c r="B541" s="2" t="s">
        <v>164</v>
      </c>
      <c r="C541" s="2" t="s">
        <v>164</v>
      </c>
      <c r="D541" s="2" t="s">
        <v>173</v>
      </c>
      <c r="E541" s="4">
        <v>0</v>
      </c>
    </row>
    <row r="542" spans="1:5" x14ac:dyDescent="0.25">
      <c r="A542">
        <v>50106</v>
      </c>
      <c r="B542" s="2" t="s">
        <v>301</v>
      </c>
      <c r="C542" s="2" t="s">
        <v>302</v>
      </c>
      <c r="D542" s="2" t="s">
        <v>306</v>
      </c>
      <c r="E542" s="4"/>
    </row>
    <row r="543" spans="1:5" x14ac:dyDescent="0.25">
      <c r="A543">
        <v>90509</v>
      </c>
      <c r="B543" s="2" t="s">
        <v>508</v>
      </c>
      <c r="C543" s="2" t="s">
        <v>426</v>
      </c>
      <c r="D543" s="2" t="s">
        <v>544</v>
      </c>
      <c r="E543" s="4"/>
    </row>
    <row r="544" spans="1:5" x14ac:dyDescent="0.25">
      <c r="A544">
        <v>130409</v>
      </c>
      <c r="B544" s="2" t="s">
        <v>732</v>
      </c>
      <c r="C544" s="2" t="s">
        <v>753</v>
      </c>
      <c r="D544" s="2" t="s">
        <v>760</v>
      </c>
      <c r="E544" s="4">
        <v>0</v>
      </c>
    </row>
    <row r="545" spans="1:5" x14ac:dyDescent="0.25">
      <c r="A545">
        <v>10104</v>
      </c>
      <c r="B545" s="2" t="s">
        <v>92</v>
      </c>
      <c r="C545" s="2" t="s">
        <v>92</v>
      </c>
      <c r="D545" s="2" t="s">
        <v>96</v>
      </c>
      <c r="E545" s="4"/>
    </row>
    <row r="546" spans="1:5" x14ac:dyDescent="0.25">
      <c r="A546">
        <v>10303</v>
      </c>
      <c r="B546" s="2" t="s">
        <v>92</v>
      </c>
      <c r="C546" s="2" t="s">
        <v>109</v>
      </c>
      <c r="D546" s="2" t="s">
        <v>112</v>
      </c>
      <c r="E546" s="4">
        <v>0</v>
      </c>
    </row>
    <row r="547" spans="1:5" x14ac:dyDescent="0.25">
      <c r="A547">
        <v>10304</v>
      </c>
      <c r="B547" s="2" t="s">
        <v>92</v>
      </c>
      <c r="C547" s="2" t="s">
        <v>109</v>
      </c>
      <c r="D547" s="2" t="s">
        <v>113</v>
      </c>
      <c r="E547" s="4"/>
    </row>
    <row r="548" spans="1:5" x14ac:dyDescent="0.25">
      <c r="A548">
        <v>70504</v>
      </c>
      <c r="B548" s="2" t="s">
        <v>374</v>
      </c>
      <c r="C548" s="2" t="s">
        <v>429</v>
      </c>
      <c r="D548" s="2" t="s">
        <v>433</v>
      </c>
      <c r="E548" s="4"/>
    </row>
    <row r="549" spans="1:5" ht="24" x14ac:dyDescent="0.25">
      <c r="A549">
        <v>120207</v>
      </c>
      <c r="B549" s="2" t="s">
        <v>608</v>
      </c>
      <c r="C549" s="2" t="s">
        <v>618</v>
      </c>
      <c r="D549" s="2" t="s">
        <v>625</v>
      </c>
      <c r="E549" s="4"/>
    </row>
    <row r="550" spans="1:5" x14ac:dyDescent="0.25">
      <c r="A550">
        <v>91108</v>
      </c>
      <c r="B550" s="2" t="s">
        <v>508</v>
      </c>
      <c r="C550" s="2" t="s">
        <v>583</v>
      </c>
      <c r="D550" s="2" t="s">
        <v>589</v>
      </c>
      <c r="E550" s="4"/>
    </row>
    <row r="551" spans="1:5" x14ac:dyDescent="0.25">
      <c r="A551">
        <v>41308</v>
      </c>
      <c r="B551" s="2" t="s">
        <v>205</v>
      </c>
      <c r="C551" s="2" t="s">
        <v>292</v>
      </c>
      <c r="D551" s="2" t="s">
        <v>299</v>
      </c>
      <c r="E551" s="4"/>
    </row>
    <row r="552" spans="1:5" x14ac:dyDescent="0.25">
      <c r="A552">
        <v>60206</v>
      </c>
      <c r="B552" s="2" t="s">
        <v>321</v>
      </c>
      <c r="C552" s="2" t="s">
        <v>328</v>
      </c>
      <c r="D552" s="2" t="s">
        <v>334</v>
      </c>
      <c r="E552" s="4"/>
    </row>
    <row r="553" spans="1:5" x14ac:dyDescent="0.25">
      <c r="A553">
        <v>60207</v>
      </c>
      <c r="B553" s="2" t="s">
        <v>321</v>
      </c>
      <c r="C553" s="2" t="s">
        <v>328</v>
      </c>
      <c r="D553" s="2" t="s">
        <v>335</v>
      </c>
      <c r="E553" s="4"/>
    </row>
    <row r="554" spans="1:5" x14ac:dyDescent="0.25">
      <c r="A554">
        <v>91204</v>
      </c>
      <c r="B554" s="2" t="s">
        <v>508</v>
      </c>
      <c r="C554" s="2" t="s">
        <v>591</v>
      </c>
      <c r="D554" s="2" t="s">
        <v>594</v>
      </c>
      <c r="E554" s="4"/>
    </row>
    <row r="555" spans="1:5" x14ac:dyDescent="0.25">
      <c r="A555">
        <v>40106</v>
      </c>
      <c r="B555" s="2" t="s">
        <v>205</v>
      </c>
      <c r="C555" s="2" t="s">
        <v>206</v>
      </c>
      <c r="D555" s="2" t="s">
        <v>212</v>
      </c>
      <c r="E555" s="4"/>
    </row>
    <row r="556" spans="1:5" x14ac:dyDescent="0.25">
      <c r="A556">
        <v>10305</v>
      </c>
      <c r="B556" s="2" t="s">
        <v>92</v>
      </c>
      <c r="C556" s="2" t="s">
        <v>109</v>
      </c>
      <c r="D556" s="2" t="s">
        <v>114</v>
      </c>
      <c r="E556" s="4">
        <v>0</v>
      </c>
    </row>
    <row r="557" spans="1:5" x14ac:dyDescent="0.25">
      <c r="A557">
        <v>90804</v>
      </c>
      <c r="B557" s="2" t="s">
        <v>508</v>
      </c>
      <c r="C557" s="2" t="s">
        <v>479</v>
      </c>
      <c r="D557" s="2" t="s">
        <v>563</v>
      </c>
      <c r="E557" s="4"/>
    </row>
    <row r="558" spans="1:5" x14ac:dyDescent="0.25">
      <c r="A558">
        <v>40901</v>
      </c>
      <c r="B558" s="2" t="s">
        <v>205</v>
      </c>
      <c r="C558" s="2" t="s">
        <v>269</v>
      </c>
      <c r="D558" s="2" t="s">
        <v>270</v>
      </c>
      <c r="E558" s="4">
        <v>0</v>
      </c>
    </row>
    <row r="559" spans="1:5" x14ac:dyDescent="0.25">
      <c r="A559">
        <v>40805</v>
      </c>
      <c r="B559" s="2" t="s">
        <v>205</v>
      </c>
      <c r="C559" s="2" t="s">
        <v>264</v>
      </c>
      <c r="D559" s="2" t="s">
        <v>268</v>
      </c>
      <c r="E559" s="4"/>
    </row>
    <row r="560" spans="1:5" x14ac:dyDescent="0.25">
      <c r="A560">
        <v>60608</v>
      </c>
      <c r="B560" s="2" t="s">
        <v>321</v>
      </c>
      <c r="C560" s="2" t="s">
        <v>359</v>
      </c>
      <c r="D560" s="2" t="s">
        <v>367</v>
      </c>
      <c r="E560" s="4"/>
    </row>
    <row r="561" spans="1:5" x14ac:dyDescent="0.25">
      <c r="A561">
        <v>80811</v>
      </c>
      <c r="B561" s="2" t="s">
        <v>451</v>
      </c>
      <c r="C561" s="2" t="s">
        <v>451</v>
      </c>
      <c r="D561" s="2" t="s">
        <v>481</v>
      </c>
      <c r="E561" s="4">
        <v>1</v>
      </c>
    </row>
    <row r="562" spans="1:5" ht="24" x14ac:dyDescent="0.25">
      <c r="A562">
        <v>120705</v>
      </c>
      <c r="B562" s="2" t="s">
        <v>608</v>
      </c>
      <c r="C562" s="2" t="s">
        <v>660</v>
      </c>
      <c r="D562" s="2" t="s">
        <v>662</v>
      </c>
      <c r="E562" s="4"/>
    </row>
    <row r="563" spans="1:5" x14ac:dyDescent="0.25">
      <c r="A563">
        <v>50307</v>
      </c>
      <c r="B563" s="2" t="s">
        <v>301</v>
      </c>
      <c r="C563" s="2" t="s">
        <v>564</v>
      </c>
      <c r="D563" s="2" t="s">
        <v>695</v>
      </c>
      <c r="E563" s="4"/>
    </row>
    <row r="564" spans="1:5" x14ac:dyDescent="0.25">
      <c r="A564">
        <v>50307</v>
      </c>
      <c r="B564" s="2" t="s">
        <v>301</v>
      </c>
      <c r="C564" s="2" t="s">
        <v>564</v>
      </c>
      <c r="D564" s="2" t="s">
        <v>695</v>
      </c>
      <c r="E564" s="4"/>
    </row>
    <row r="565" spans="1:5" x14ac:dyDescent="0.25">
      <c r="A565">
        <v>50315</v>
      </c>
      <c r="B565" s="2" t="s">
        <v>301</v>
      </c>
      <c r="C565" s="2" t="s">
        <v>564</v>
      </c>
      <c r="D565" s="2" t="s">
        <v>698</v>
      </c>
      <c r="E565" s="4"/>
    </row>
    <row r="566" spans="1:5" x14ac:dyDescent="0.25">
      <c r="A566">
        <v>90701</v>
      </c>
      <c r="B566" s="2" t="s">
        <v>508</v>
      </c>
      <c r="C566" s="2" t="s">
        <v>556</v>
      </c>
      <c r="D566" s="2" t="s">
        <v>557</v>
      </c>
      <c r="E566" s="4">
        <v>0</v>
      </c>
    </row>
    <row r="567" spans="1:5" x14ac:dyDescent="0.25">
      <c r="A567">
        <v>20607</v>
      </c>
      <c r="B567" s="2" t="s">
        <v>116</v>
      </c>
      <c r="C567" s="2" t="s">
        <v>154</v>
      </c>
      <c r="D567" s="2" t="s">
        <v>160</v>
      </c>
      <c r="E567" s="4"/>
    </row>
    <row r="568" spans="1:5" x14ac:dyDescent="0.25">
      <c r="A568">
        <v>91109</v>
      </c>
      <c r="B568" s="2" t="s">
        <v>508</v>
      </c>
      <c r="C568" s="2" t="s">
        <v>583</v>
      </c>
      <c r="D568" s="2" t="s">
        <v>160</v>
      </c>
      <c r="E568" s="4">
        <v>0</v>
      </c>
    </row>
    <row r="569" spans="1:5" x14ac:dyDescent="0.25">
      <c r="A569">
        <v>20207</v>
      </c>
      <c r="B569" s="2" t="s">
        <v>116</v>
      </c>
      <c r="C569" s="2" t="s">
        <v>123</v>
      </c>
      <c r="D569" s="2" t="s">
        <v>130</v>
      </c>
      <c r="E569" s="4">
        <v>0</v>
      </c>
    </row>
    <row r="570" spans="1:5" x14ac:dyDescent="0.25">
      <c r="A570">
        <v>70218</v>
      </c>
      <c r="B570" s="2" t="s">
        <v>374</v>
      </c>
      <c r="C570" s="2" t="s">
        <v>105</v>
      </c>
      <c r="D570" s="2" t="s">
        <v>401</v>
      </c>
      <c r="E570" s="4"/>
    </row>
    <row r="571" spans="1:5" x14ac:dyDescent="0.25">
      <c r="A571">
        <v>50308</v>
      </c>
      <c r="B571" s="2" t="s">
        <v>301</v>
      </c>
      <c r="C571" s="2" t="s">
        <v>564</v>
      </c>
      <c r="D571" s="2" t="s">
        <v>700</v>
      </c>
      <c r="E571" s="4"/>
    </row>
    <row r="572" spans="1:5" x14ac:dyDescent="0.25">
      <c r="A572">
        <v>50308</v>
      </c>
      <c r="B572" s="2" t="s">
        <v>301</v>
      </c>
      <c r="C572" s="2" t="s">
        <v>564</v>
      </c>
      <c r="D572" s="2" t="s">
        <v>700</v>
      </c>
      <c r="E572" s="4"/>
    </row>
    <row r="573" spans="1:5" x14ac:dyDescent="0.25">
      <c r="A573">
        <v>20608</v>
      </c>
      <c r="B573" s="2" t="s">
        <v>116</v>
      </c>
      <c r="C573" s="2" t="s">
        <v>154</v>
      </c>
      <c r="D573" s="2" t="s">
        <v>161</v>
      </c>
      <c r="E573" s="4"/>
    </row>
    <row r="574" spans="1:5" x14ac:dyDescent="0.25">
      <c r="A574">
        <v>30305</v>
      </c>
      <c r="B574" s="2" t="s">
        <v>164</v>
      </c>
      <c r="C574" s="2" t="s">
        <v>187</v>
      </c>
      <c r="D574" s="2" t="s">
        <v>161</v>
      </c>
      <c r="E574" s="4">
        <v>1</v>
      </c>
    </row>
    <row r="575" spans="1:5" x14ac:dyDescent="0.25">
      <c r="A575">
        <v>90907</v>
      </c>
      <c r="B575" s="2" t="s">
        <v>508</v>
      </c>
      <c r="C575" s="2" t="s">
        <v>564</v>
      </c>
      <c r="D575" s="2" t="s">
        <v>571</v>
      </c>
      <c r="E575" s="4"/>
    </row>
    <row r="576" spans="1:5" ht="24" x14ac:dyDescent="0.25">
      <c r="A576">
        <v>110201</v>
      </c>
      <c r="B576" s="2" t="s">
        <v>601</v>
      </c>
      <c r="C576" s="2" t="s">
        <v>307</v>
      </c>
      <c r="D576" s="2" t="s">
        <v>606</v>
      </c>
      <c r="E576" s="4">
        <v>0</v>
      </c>
    </row>
    <row r="577" spans="1:5" x14ac:dyDescent="0.25">
      <c r="A577">
        <v>41001</v>
      </c>
      <c r="B577" s="2" t="s">
        <v>205</v>
      </c>
      <c r="C577" s="2" t="s">
        <v>275</v>
      </c>
      <c r="D577" s="2" t="s">
        <v>276</v>
      </c>
      <c r="E577" s="4">
        <v>1</v>
      </c>
    </row>
    <row r="578" spans="1:5" x14ac:dyDescent="0.25">
      <c r="A578">
        <v>91110</v>
      </c>
      <c r="B578" s="2" t="s">
        <v>508</v>
      </c>
      <c r="C578" s="2" t="s">
        <v>583</v>
      </c>
      <c r="D578" s="2" t="s">
        <v>590</v>
      </c>
      <c r="E578" s="4">
        <v>0</v>
      </c>
    </row>
    <row r="579" spans="1:5" x14ac:dyDescent="0.25">
      <c r="A579">
        <v>40205</v>
      </c>
      <c r="B579" s="2" t="s">
        <v>205</v>
      </c>
      <c r="C579" s="2" t="s">
        <v>216</v>
      </c>
      <c r="D579" s="2" t="s">
        <v>221</v>
      </c>
      <c r="E579" s="4">
        <v>0</v>
      </c>
    </row>
    <row r="580" spans="1:5" x14ac:dyDescent="0.25">
      <c r="A580">
        <v>91013</v>
      </c>
      <c r="B580" s="2" t="s">
        <v>508</v>
      </c>
      <c r="C580" s="2" t="s">
        <v>573</v>
      </c>
      <c r="D580" s="2" t="s">
        <v>706</v>
      </c>
      <c r="E580" s="4">
        <v>0</v>
      </c>
    </row>
    <row r="581" spans="1:5" ht="24" x14ac:dyDescent="0.25">
      <c r="A581">
        <v>120310</v>
      </c>
      <c r="B581" s="2" t="s">
        <v>608</v>
      </c>
      <c r="C581" s="2" t="s">
        <v>627</v>
      </c>
      <c r="D581" s="2" t="s">
        <v>636</v>
      </c>
      <c r="E581" s="4"/>
    </row>
    <row r="582" spans="1:5" x14ac:dyDescent="0.25">
      <c r="A582">
        <v>40706</v>
      </c>
      <c r="B582" s="2" t="s">
        <v>205</v>
      </c>
      <c r="C582" s="2" t="s">
        <v>255</v>
      </c>
      <c r="D582" s="2" t="s">
        <v>261</v>
      </c>
      <c r="E582" s="4"/>
    </row>
    <row r="583" spans="1:5" x14ac:dyDescent="0.25">
      <c r="A583">
        <v>90908</v>
      </c>
      <c r="B583" s="2" t="s">
        <v>508</v>
      </c>
      <c r="C583" s="2" t="s">
        <v>564</v>
      </c>
      <c r="D583" s="2" t="s">
        <v>572</v>
      </c>
      <c r="E583" s="4"/>
    </row>
    <row r="584" spans="1:5" x14ac:dyDescent="0.25">
      <c r="A584">
        <v>81009</v>
      </c>
      <c r="B584" s="2" t="s">
        <v>451</v>
      </c>
      <c r="C584" s="2" t="s">
        <v>494</v>
      </c>
      <c r="D584" s="2" t="s">
        <v>503</v>
      </c>
      <c r="E584" s="4">
        <v>2</v>
      </c>
    </row>
    <row r="585" spans="1:5" x14ac:dyDescent="0.25">
      <c r="A585">
        <v>60607</v>
      </c>
      <c r="B585" s="2" t="s">
        <v>321</v>
      </c>
      <c r="C585" s="2" t="s">
        <v>359</v>
      </c>
      <c r="D585" s="2" t="s">
        <v>366</v>
      </c>
      <c r="E585" s="4"/>
    </row>
    <row r="586" spans="1:5" x14ac:dyDescent="0.25">
      <c r="A586">
        <v>70310</v>
      </c>
      <c r="B586" s="2" t="s">
        <v>374</v>
      </c>
      <c r="C586" s="2" t="s">
        <v>374</v>
      </c>
      <c r="D586" s="2" t="s">
        <v>366</v>
      </c>
      <c r="E586" s="4">
        <v>0</v>
      </c>
    </row>
    <row r="587" spans="1:5" x14ac:dyDescent="0.25">
      <c r="A587">
        <v>30111</v>
      </c>
      <c r="B587" s="2" t="s">
        <v>164</v>
      </c>
      <c r="C587" s="2" t="s">
        <v>164</v>
      </c>
      <c r="D587" s="2" t="s">
        <v>174</v>
      </c>
      <c r="E587" s="4">
        <v>2</v>
      </c>
    </row>
    <row r="588" spans="1:5" x14ac:dyDescent="0.25">
      <c r="A588">
        <v>80206</v>
      </c>
      <c r="B588" s="2" t="s">
        <v>451</v>
      </c>
      <c r="C588" s="2" t="s">
        <v>452</v>
      </c>
      <c r="D588" s="2" t="s">
        <v>458</v>
      </c>
      <c r="E588" s="4"/>
    </row>
    <row r="589" spans="1:5" x14ac:dyDescent="0.25">
      <c r="A589">
        <v>130410</v>
      </c>
      <c r="B589" s="2" t="s">
        <v>732</v>
      </c>
      <c r="C589" s="2" t="s">
        <v>753</v>
      </c>
      <c r="D589" s="2" t="s">
        <v>761</v>
      </c>
      <c r="E589" s="4">
        <v>0</v>
      </c>
    </row>
    <row r="590" spans="1:5" x14ac:dyDescent="0.25">
      <c r="A590">
        <v>30112</v>
      </c>
      <c r="B590" s="2" t="s">
        <v>164</v>
      </c>
      <c r="C590" s="2" t="s">
        <v>164</v>
      </c>
      <c r="D590" s="2" t="s">
        <v>175</v>
      </c>
      <c r="E590" s="4">
        <v>0</v>
      </c>
    </row>
    <row r="591" spans="1:5" ht="24" x14ac:dyDescent="0.25">
      <c r="A591">
        <v>120208</v>
      </c>
      <c r="B591" s="2" t="s">
        <v>608</v>
      </c>
      <c r="C591" s="2" t="s">
        <v>618</v>
      </c>
      <c r="D591" s="2" t="s">
        <v>626</v>
      </c>
      <c r="E591" s="4"/>
    </row>
    <row r="592" spans="1:5" x14ac:dyDescent="0.25">
      <c r="A592">
        <v>30207</v>
      </c>
      <c r="B592" s="2" t="s">
        <v>164</v>
      </c>
      <c r="C592" s="2" t="s">
        <v>179</v>
      </c>
      <c r="D592" s="2" t="s">
        <v>186</v>
      </c>
      <c r="E592" s="4"/>
    </row>
    <row r="593" spans="1:5" ht="24" x14ac:dyDescent="0.25">
      <c r="A593">
        <v>120801</v>
      </c>
      <c r="B593" s="2" t="s">
        <v>608</v>
      </c>
      <c r="C593" s="2" t="s">
        <v>720</v>
      </c>
      <c r="D593" s="2" t="s">
        <v>721</v>
      </c>
      <c r="E593" s="4"/>
    </row>
    <row r="594" spans="1:5" x14ac:dyDescent="0.25">
      <c r="A594">
        <v>50109</v>
      </c>
      <c r="B594" s="2" t="s">
        <v>301</v>
      </c>
      <c r="C594" s="2" t="s">
        <v>302</v>
      </c>
      <c r="D594" s="2" t="s">
        <v>307</v>
      </c>
      <c r="E594" s="4"/>
    </row>
    <row r="595" spans="1:5" x14ac:dyDescent="0.25">
      <c r="A595">
        <v>40507</v>
      </c>
      <c r="B595" s="2" t="s">
        <v>205</v>
      </c>
      <c r="C595" s="2" t="s">
        <v>237</v>
      </c>
      <c r="D595" s="2" t="s">
        <v>242</v>
      </c>
      <c r="E595" s="4"/>
    </row>
    <row r="596" spans="1:5" x14ac:dyDescent="0.25">
      <c r="A596">
        <v>90105</v>
      </c>
      <c r="B596" s="2" t="s">
        <v>508</v>
      </c>
      <c r="C596" s="2" t="s">
        <v>509</v>
      </c>
      <c r="D596" s="2" t="s">
        <v>514</v>
      </c>
      <c r="E596" s="4">
        <v>0</v>
      </c>
    </row>
    <row r="597" spans="1:5" x14ac:dyDescent="0.25">
      <c r="A597">
        <v>90405</v>
      </c>
      <c r="B597" s="2" t="s">
        <v>508</v>
      </c>
      <c r="C597" s="2" t="s">
        <v>425</v>
      </c>
      <c r="D597" s="2" t="s">
        <v>536</v>
      </c>
      <c r="E597" s="4"/>
    </row>
    <row r="598" spans="1:5" x14ac:dyDescent="0.25">
      <c r="A598">
        <v>40608</v>
      </c>
      <c r="B598" s="2" t="s">
        <v>205</v>
      </c>
      <c r="C598" s="2" t="s">
        <v>247</v>
      </c>
      <c r="D598" s="2" t="s">
        <v>252</v>
      </c>
      <c r="E598" s="4">
        <v>0</v>
      </c>
    </row>
    <row r="599" spans="1:5" x14ac:dyDescent="0.25">
      <c r="A599">
        <v>130901</v>
      </c>
      <c r="B599" s="2" t="s">
        <v>732</v>
      </c>
      <c r="C599" s="2" t="s">
        <v>252</v>
      </c>
      <c r="D599" s="2" t="s">
        <v>779</v>
      </c>
      <c r="E599" s="4"/>
    </row>
    <row r="600" spans="1:5" x14ac:dyDescent="0.25">
      <c r="A600">
        <v>80801</v>
      </c>
      <c r="B600" s="2" t="s">
        <v>451</v>
      </c>
      <c r="C600" s="2" t="s">
        <v>451</v>
      </c>
      <c r="D600" s="2" t="s">
        <v>473</v>
      </c>
      <c r="E600" s="4">
        <v>0</v>
      </c>
    </row>
    <row r="601" spans="1:5" x14ac:dyDescent="0.25">
      <c r="A601">
        <v>41104</v>
      </c>
      <c r="B601" s="2" t="s">
        <v>205</v>
      </c>
      <c r="C601" s="2" t="s">
        <v>284</v>
      </c>
      <c r="D601" s="2" t="s">
        <v>284</v>
      </c>
      <c r="E601" s="4">
        <v>0</v>
      </c>
    </row>
    <row r="602" spans="1:5" x14ac:dyDescent="0.25">
      <c r="A602">
        <v>80809</v>
      </c>
      <c r="B602" s="2" t="s">
        <v>451</v>
      </c>
      <c r="C602" s="2" t="s">
        <v>451</v>
      </c>
      <c r="D602" s="2" t="s">
        <v>479</v>
      </c>
      <c r="E602" s="4">
        <v>5</v>
      </c>
    </row>
    <row r="603" spans="1:5" x14ac:dyDescent="0.25">
      <c r="A603">
        <v>90801</v>
      </c>
      <c r="B603" s="2" t="s">
        <v>508</v>
      </c>
      <c r="C603" s="2" t="s">
        <v>479</v>
      </c>
      <c r="D603" s="2" t="s">
        <v>560</v>
      </c>
      <c r="E603" s="4">
        <v>0</v>
      </c>
    </row>
    <row r="604" spans="1:5" x14ac:dyDescent="0.25">
      <c r="A604">
        <v>40515</v>
      </c>
      <c r="B604" s="2" t="s">
        <v>205</v>
      </c>
      <c r="C604" s="2" t="s">
        <v>237</v>
      </c>
      <c r="D604" s="2" t="s">
        <v>686</v>
      </c>
      <c r="E604" s="4">
        <v>0</v>
      </c>
    </row>
    <row r="605" spans="1:5" x14ac:dyDescent="0.25">
      <c r="A605">
        <v>70219</v>
      </c>
      <c r="B605" s="2" t="s">
        <v>374</v>
      </c>
      <c r="C605" s="2" t="s">
        <v>105</v>
      </c>
      <c r="D605" s="2" t="s">
        <v>402</v>
      </c>
      <c r="E605" s="4"/>
    </row>
    <row r="606" spans="1:5" x14ac:dyDescent="0.25">
      <c r="A606">
        <v>90212</v>
      </c>
      <c r="B606" s="2" t="s">
        <v>508</v>
      </c>
      <c r="C606" s="2" t="s">
        <v>515</v>
      </c>
      <c r="D606" s="2" t="s">
        <v>402</v>
      </c>
      <c r="E606" s="4"/>
    </row>
    <row r="607" spans="1:5" x14ac:dyDescent="0.25">
      <c r="A607">
        <v>90305</v>
      </c>
      <c r="B607" s="2" t="s">
        <v>508</v>
      </c>
      <c r="C607" s="2" t="s">
        <v>526</v>
      </c>
      <c r="D607" s="2" t="s">
        <v>402</v>
      </c>
      <c r="E607" s="4"/>
    </row>
    <row r="608" spans="1:5" x14ac:dyDescent="0.25">
      <c r="A608">
        <v>90806</v>
      </c>
      <c r="B608" s="2" t="s">
        <v>508</v>
      </c>
      <c r="C608" s="2" t="s">
        <v>479</v>
      </c>
      <c r="D608" s="2" t="s">
        <v>402</v>
      </c>
      <c r="E608" s="4"/>
    </row>
    <row r="609" spans="1:5" x14ac:dyDescent="0.25">
      <c r="A609">
        <v>130909</v>
      </c>
      <c r="B609" s="2" t="s">
        <v>732</v>
      </c>
      <c r="C609" s="2" t="s">
        <v>252</v>
      </c>
      <c r="D609" s="2" t="s">
        <v>402</v>
      </c>
      <c r="E609" s="4"/>
    </row>
    <row r="610" spans="1:5" ht="24" x14ac:dyDescent="0.25">
      <c r="A610">
        <v>30601</v>
      </c>
      <c r="B610" s="2" t="s">
        <v>164</v>
      </c>
      <c r="C610" s="2" t="s">
        <v>681</v>
      </c>
      <c r="D610" s="2" t="s">
        <v>682</v>
      </c>
      <c r="E610" s="4">
        <v>0</v>
      </c>
    </row>
    <row r="611" spans="1:5" x14ac:dyDescent="0.25">
      <c r="A611">
        <v>30113</v>
      </c>
      <c r="B611" s="2" t="s">
        <v>164</v>
      </c>
      <c r="C611" s="2" t="s">
        <v>164</v>
      </c>
      <c r="D611" s="2" t="s">
        <v>176</v>
      </c>
      <c r="E611" s="4">
        <v>0</v>
      </c>
    </row>
    <row r="612" spans="1:5" x14ac:dyDescent="0.25">
      <c r="A612">
        <v>41204</v>
      </c>
      <c r="B612" s="2" t="s">
        <v>205</v>
      </c>
      <c r="C612" s="2" t="s">
        <v>288</v>
      </c>
      <c r="D612" s="2" t="s">
        <v>176</v>
      </c>
      <c r="E612" s="4">
        <v>0</v>
      </c>
    </row>
    <row r="613" spans="1:5" x14ac:dyDescent="0.25">
      <c r="A613">
        <v>90805</v>
      </c>
      <c r="B613" s="2" t="s">
        <v>508</v>
      </c>
      <c r="C613" s="2" t="s">
        <v>479</v>
      </c>
      <c r="D613" s="2" t="s">
        <v>176</v>
      </c>
      <c r="E613" s="4"/>
    </row>
    <row r="614" spans="1:5" x14ac:dyDescent="0.25">
      <c r="A614">
        <v>60105</v>
      </c>
      <c r="B614" s="2" t="s">
        <v>321</v>
      </c>
      <c r="C614" s="2" t="s">
        <v>322</v>
      </c>
      <c r="D614" s="2" t="s">
        <v>327</v>
      </c>
      <c r="E614" s="4">
        <v>0</v>
      </c>
    </row>
    <row r="615" spans="1:5" x14ac:dyDescent="0.25">
      <c r="A615">
        <v>20208</v>
      </c>
      <c r="B615" s="2" t="s">
        <v>116</v>
      </c>
      <c r="C615" s="2" t="s">
        <v>123</v>
      </c>
      <c r="D615" s="2" t="s">
        <v>131</v>
      </c>
      <c r="E615" s="4"/>
    </row>
    <row r="616" spans="1:5" ht="24" x14ac:dyDescent="0.25">
      <c r="A616">
        <v>30603</v>
      </c>
      <c r="B616" s="2" t="s">
        <v>164</v>
      </c>
      <c r="C616" s="2" t="s">
        <v>681</v>
      </c>
      <c r="D616" s="2" t="s">
        <v>684</v>
      </c>
      <c r="E616" s="4"/>
    </row>
    <row r="617" spans="1:5" x14ac:dyDescent="0.25">
      <c r="A617">
        <v>41205</v>
      </c>
      <c r="B617" s="2" t="s">
        <v>205</v>
      </c>
      <c r="C617" s="2" t="s">
        <v>288</v>
      </c>
      <c r="D617" s="2" t="s">
        <v>288</v>
      </c>
      <c r="E617" s="4"/>
    </row>
    <row r="618" spans="1:5" x14ac:dyDescent="0.25">
      <c r="A618">
        <v>90306</v>
      </c>
      <c r="B618" s="2" t="s">
        <v>508</v>
      </c>
      <c r="C618" s="2" t="s">
        <v>526</v>
      </c>
      <c r="D618" s="2" t="s">
        <v>531</v>
      </c>
      <c r="E618" s="4"/>
    </row>
    <row r="619" spans="1:5" x14ac:dyDescent="0.25">
      <c r="A619">
        <v>80818</v>
      </c>
      <c r="B619" s="2" t="s">
        <v>451</v>
      </c>
      <c r="C619" s="2" t="s">
        <v>451</v>
      </c>
      <c r="D619" s="2" t="s">
        <v>487</v>
      </c>
      <c r="E619" s="4">
        <v>0</v>
      </c>
    </row>
    <row r="620" spans="1:5" x14ac:dyDescent="0.25">
      <c r="A620">
        <v>90510</v>
      </c>
      <c r="B620" s="2" t="s">
        <v>508</v>
      </c>
      <c r="C620" s="2" t="s">
        <v>426</v>
      </c>
      <c r="D620" s="2" t="s">
        <v>545</v>
      </c>
      <c r="E620" s="4"/>
    </row>
    <row r="621" spans="1:5" x14ac:dyDescent="0.25">
      <c r="A621">
        <v>91011</v>
      </c>
      <c r="B621" s="2" t="s">
        <v>508</v>
      </c>
      <c r="C621" s="2" t="s">
        <v>573</v>
      </c>
      <c r="D621" s="2" t="s">
        <v>545</v>
      </c>
      <c r="E621" s="4">
        <v>1</v>
      </c>
    </row>
    <row r="622" spans="1:5" x14ac:dyDescent="0.25">
      <c r="A622">
        <v>70220</v>
      </c>
      <c r="B622" s="2" t="s">
        <v>374</v>
      </c>
      <c r="C622" s="2" t="s">
        <v>105</v>
      </c>
      <c r="D622" s="2" t="s">
        <v>403</v>
      </c>
      <c r="E622" s="4"/>
    </row>
    <row r="623" spans="1:5" x14ac:dyDescent="0.25">
      <c r="A623">
        <v>80201</v>
      </c>
      <c r="B623" s="2" t="s">
        <v>451</v>
      </c>
      <c r="C623" s="2" t="s">
        <v>452</v>
      </c>
      <c r="D623" s="2" t="s">
        <v>453</v>
      </c>
      <c r="E623" s="4"/>
    </row>
    <row r="624" spans="1:5" x14ac:dyDescent="0.25">
      <c r="A624">
        <v>40609</v>
      </c>
      <c r="B624" s="2" t="s">
        <v>205</v>
      </c>
      <c r="C624" s="2" t="s">
        <v>247</v>
      </c>
      <c r="D624" s="2" t="s">
        <v>253</v>
      </c>
      <c r="E624" s="4"/>
    </row>
    <row r="625" spans="1:5" x14ac:dyDescent="0.25">
      <c r="A625">
        <v>40610</v>
      </c>
      <c r="B625" s="2" t="s">
        <v>205</v>
      </c>
      <c r="C625" s="2" t="s">
        <v>247</v>
      </c>
      <c r="D625" s="2" t="s">
        <v>254</v>
      </c>
      <c r="E625" s="4">
        <v>0</v>
      </c>
    </row>
    <row r="626" spans="1:5" ht="24" x14ac:dyDescent="0.25">
      <c r="A626">
        <v>120904</v>
      </c>
      <c r="B626" s="2" t="s">
        <v>608</v>
      </c>
      <c r="C626" s="2" t="s">
        <v>726</v>
      </c>
      <c r="D626" s="2" t="s">
        <v>730</v>
      </c>
      <c r="E626" s="4"/>
    </row>
    <row r="627" spans="1:5" x14ac:dyDescent="0.25">
      <c r="A627">
        <v>91006</v>
      </c>
      <c r="B627" s="2" t="s">
        <v>508</v>
      </c>
      <c r="C627" s="2" t="s">
        <v>573</v>
      </c>
      <c r="D627" s="2" t="s">
        <v>578</v>
      </c>
      <c r="E627" s="4">
        <v>0</v>
      </c>
    </row>
    <row r="628" spans="1:5" x14ac:dyDescent="0.25">
      <c r="A628">
        <v>70311</v>
      </c>
      <c r="B628" s="2" t="s">
        <v>374</v>
      </c>
      <c r="C628" s="2" t="s">
        <v>374</v>
      </c>
      <c r="D628" s="2" t="s">
        <v>414</v>
      </c>
      <c r="E628" s="4"/>
    </row>
    <row r="629" spans="1:5" x14ac:dyDescent="0.25">
      <c r="A629">
        <v>80803</v>
      </c>
      <c r="B629" s="2" t="s">
        <v>451</v>
      </c>
      <c r="C629" s="2" t="s">
        <v>451</v>
      </c>
      <c r="D629" s="2" t="s">
        <v>414</v>
      </c>
      <c r="E629" s="4">
        <v>13</v>
      </c>
    </row>
    <row r="630" spans="1:5" ht="36" x14ac:dyDescent="0.25">
      <c r="A630">
        <v>120901</v>
      </c>
      <c r="B630" s="2" t="s">
        <v>608</v>
      </c>
      <c r="C630" s="2" t="s">
        <v>726</v>
      </c>
      <c r="D630" s="2" t="s">
        <v>727</v>
      </c>
      <c r="E630" s="4"/>
    </row>
    <row r="631" spans="1:5" x14ac:dyDescent="0.25">
      <c r="A631">
        <v>41008</v>
      </c>
      <c r="B631" s="2" t="s">
        <v>205</v>
      </c>
      <c r="C631" s="2" t="s">
        <v>275</v>
      </c>
      <c r="D631" s="2" t="s">
        <v>283</v>
      </c>
      <c r="E631" s="4"/>
    </row>
    <row r="632" spans="1:5" x14ac:dyDescent="0.25">
      <c r="A632">
        <v>130104</v>
      </c>
      <c r="B632" s="2" t="s">
        <v>732</v>
      </c>
      <c r="C632" s="2" t="s">
        <v>733</v>
      </c>
      <c r="D632" s="2" t="s">
        <v>283</v>
      </c>
      <c r="E632" s="4">
        <v>0</v>
      </c>
    </row>
    <row r="633" spans="1:5" x14ac:dyDescent="0.25">
      <c r="A633">
        <v>130104</v>
      </c>
      <c r="B633" s="2" t="s">
        <v>732</v>
      </c>
      <c r="C633" s="2" t="s">
        <v>733</v>
      </c>
      <c r="D633" s="2" t="s">
        <v>283</v>
      </c>
      <c r="E633" s="4">
        <v>0</v>
      </c>
    </row>
    <row r="634" spans="1:5" x14ac:dyDescent="0.25">
      <c r="A634">
        <v>41006</v>
      </c>
      <c r="B634" s="2" t="s">
        <v>205</v>
      </c>
      <c r="C634" s="2" t="s">
        <v>275</v>
      </c>
      <c r="D634" s="2" t="s">
        <v>281</v>
      </c>
      <c r="E634" s="4"/>
    </row>
    <row r="635" spans="1:5" x14ac:dyDescent="0.25">
      <c r="A635">
        <v>41105</v>
      </c>
      <c r="B635" s="2" t="s">
        <v>205</v>
      </c>
      <c r="C635" s="2" t="s">
        <v>284</v>
      </c>
      <c r="D635" s="2" t="s">
        <v>281</v>
      </c>
      <c r="E635" s="4"/>
    </row>
    <row r="636" spans="1:5" x14ac:dyDescent="0.25">
      <c r="A636">
        <v>80506</v>
      </c>
      <c r="B636" s="2" t="s">
        <v>451</v>
      </c>
      <c r="C636" s="2" t="s">
        <v>330</v>
      </c>
      <c r="D636" s="2" t="s">
        <v>464</v>
      </c>
      <c r="E636" s="4"/>
    </row>
    <row r="637" spans="1:5" x14ac:dyDescent="0.25">
      <c r="A637">
        <v>90901</v>
      </c>
      <c r="B637" s="2" t="s">
        <v>508</v>
      </c>
      <c r="C637" s="2" t="s">
        <v>564</v>
      </c>
      <c r="D637" s="2" t="s">
        <v>565</v>
      </c>
      <c r="E637" s="4">
        <v>0</v>
      </c>
    </row>
    <row r="638" spans="1:5" x14ac:dyDescent="0.25">
      <c r="A638">
        <v>50316</v>
      </c>
      <c r="B638" s="2" t="s">
        <v>301</v>
      </c>
      <c r="C638" s="2" t="s">
        <v>564</v>
      </c>
      <c r="D638" s="2" t="s">
        <v>565</v>
      </c>
      <c r="E638" s="4">
        <v>0</v>
      </c>
    </row>
    <row r="639" spans="1:5" x14ac:dyDescent="0.25">
      <c r="A639">
        <v>50316</v>
      </c>
      <c r="B639" s="2" t="s">
        <v>301</v>
      </c>
      <c r="C639" s="2" t="s">
        <v>564</v>
      </c>
      <c r="D639" s="2" t="s">
        <v>565</v>
      </c>
      <c r="E639" s="4">
        <v>0</v>
      </c>
    </row>
    <row r="640" spans="1:5" x14ac:dyDescent="0.25">
      <c r="A640">
        <v>30507</v>
      </c>
      <c r="B640" s="2" t="s">
        <v>164</v>
      </c>
      <c r="C640" s="2" t="s">
        <v>198</v>
      </c>
      <c r="D640" s="2" t="s">
        <v>198</v>
      </c>
      <c r="E640" s="4"/>
    </row>
    <row r="641" spans="1:5" x14ac:dyDescent="0.25">
      <c r="A641">
        <v>40905</v>
      </c>
      <c r="B641" s="2" t="s">
        <v>205</v>
      </c>
      <c r="C641" s="2" t="s">
        <v>269</v>
      </c>
      <c r="D641" s="2" t="s">
        <v>274</v>
      </c>
      <c r="E641" s="4"/>
    </row>
    <row r="642" spans="1:5" x14ac:dyDescent="0.25">
      <c r="A642">
        <v>60701</v>
      </c>
      <c r="B642" s="2" t="s">
        <v>321</v>
      </c>
      <c r="C642" s="2" t="s">
        <v>368</v>
      </c>
      <c r="D642" s="2" t="s">
        <v>369</v>
      </c>
      <c r="E642" s="4">
        <v>0</v>
      </c>
    </row>
    <row r="643" spans="1:5" x14ac:dyDescent="0.25">
      <c r="A643">
        <v>40508</v>
      </c>
      <c r="B643" s="2" t="s">
        <v>205</v>
      </c>
      <c r="C643" s="2" t="s">
        <v>237</v>
      </c>
      <c r="D643" s="2" t="s">
        <v>243</v>
      </c>
      <c r="E643" s="4">
        <v>0</v>
      </c>
    </row>
    <row r="644" spans="1:5" x14ac:dyDescent="0.25">
      <c r="A644">
        <v>20209</v>
      </c>
      <c r="B644" s="2" t="s">
        <v>116</v>
      </c>
      <c r="C644" s="2" t="s">
        <v>123</v>
      </c>
      <c r="D644" s="2" t="s">
        <v>132</v>
      </c>
      <c r="E644" s="4"/>
    </row>
    <row r="645" spans="1:5" x14ac:dyDescent="0.25">
      <c r="A645">
        <v>130718</v>
      </c>
      <c r="B645" s="2" t="s">
        <v>732</v>
      </c>
      <c r="C645" s="2" t="s">
        <v>763</v>
      </c>
      <c r="D645" s="2" t="s">
        <v>132</v>
      </c>
      <c r="E645" s="4">
        <v>0</v>
      </c>
    </row>
    <row r="646" spans="1:5" x14ac:dyDescent="0.25">
      <c r="A646">
        <v>30114</v>
      </c>
      <c r="B646" s="2" t="s">
        <v>164</v>
      </c>
      <c r="C646" s="2" t="s">
        <v>164</v>
      </c>
      <c r="D646" s="2" t="s">
        <v>177</v>
      </c>
      <c r="E646" s="4"/>
    </row>
    <row r="647" spans="1:5" x14ac:dyDescent="0.25">
      <c r="A647">
        <v>40509</v>
      </c>
      <c r="B647" s="2" t="s">
        <v>205</v>
      </c>
      <c r="C647" s="2" t="s">
        <v>237</v>
      </c>
      <c r="D647" s="2" t="s">
        <v>177</v>
      </c>
      <c r="E647" s="4"/>
    </row>
    <row r="648" spans="1:5" x14ac:dyDescent="0.25">
      <c r="A648">
        <v>130313</v>
      </c>
      <c r="B648" s="2" t="s">
        <v>732</v>
      </c>
      <c r="C648" s="2" t="s">
        <v>741</v>
      </c>
      <c r="D648" s="2" t="s">
        <v>177</v>
      </c>
      <c r="E648" s="4"/>
    </row>
    <row r="649" spans="1:5" x14ac:dyDescent="0.25">
      <c r="A649">
        <v>91001</v>
      </c>
      <c r="B649" s="2" t="s">
        <v>508</v>
      </c>
      <c r="C649" s="2" t="s">
        <v>573</v>
      </c>
      <c r="D649" s="2" t="s">
        <v>574</v>
      </c>
      <c r="E649" s="4">
        <v>3</v>
      </c>
    </row>
    <row r="650" spans="1:5" x14ac:dyDescent="0.25">
      <c r="A650">
        <v>91015</v>
      </c>
      <c r="B650" s="2" t="s">
        <v>508</v>
      </c>
      <c r="C650" s="2" t="s">
        <v>573</v>
      </c>
      <c r="D650" s="2" t="s">
        <v>708</v>
      </c>
      <c r="E650" s="4"/>
    </row>
    <row r="651" spans="1:5" x14ac:dyDescent="0.25">
      <c r="A651">
        <v>91016</v>
      </c>
      <c r="B651" s="2" t="s">
        <v>508</v>
      </c>
      <c r="C651" s="2" t="s">
        <v>573</v>
      </c>
      <c r="D651" s="2" t="s">
        <v>709</v>
      </c>
      <c r="E651" s="4"/>
    </row>
    <row r="652" spans="1:5" x14ac:dyDescent="0.25">
      <c r="A652">
        <v>40510</v>
      </c>
      <c r="B652" s="2" t="s">
        <v>205</v>
      </c>
      <c r="C652" s="2" t="s">
        <v>237</v>
      </c>
      <c r="D652" s="2" t="s">
        <v>244</v>
      </c>
      <c r="E652" s="4">
        <v>0</v>
      </c>
    </row>
    <row r="653" spans="1:5" x14ac:dyDescent="0.25">
      <c r="A653">
        <v>70221</v>
      </c>
      <c r="B653" s="2" t="s">
        <v>374</v>
      </c>
      <c r="C653" s="2" t="s">
        <v>105</v>
      </c>
      <c r="D653" s="2" t="s">
        <v>244</v>
      </c>
      <c r="E653" s="4"/>
    </row>
    <row r="654" spans="1:5" x14ac:dyDescent="0.25">
      <c r="A654">
        <v>40107</v>
      </c>
      <c r="B654" s="2" t="s">
        <v>205</v>
      </c>
      <c r="C654" s="2" t="s">
        <v>206</v>
      </c>
      <c r="D654" s="2" t="s">
        <v>213</v>
      </c>
      <c r="E654" s="4">
        <v>0</v>
      </c>
    </row>
    <row r="655" spans="1:5" x14ac:dyDescent="0.25">
      <c r="A655">
        <v>70222</v>
      </c>
      <c r="B655" s="2" t="s">
        <v>374</v>
      </c>
      <c r="C655" s="2" t="s">
        <v>105</v>
      </c>
      <c r="D655" s="2" t="s">
        <v>404</v>
      </c>
      <c r="E655" s="4"/>
    </row>
    <row r="656" spans="1:5" x14ac:dyDescent="0.25">
      <c r="A656">
        <v>50110</v>
      </c>
      <c r="B656" s="2" t="s">
        <v>301</v>
      </c>
      <c r="C656" s="2" t="s">
        <v>302</v>
      </c>
      <c r="D656" s="2" t="s">
        <v>308</v>
      </c>
      <c r="E656" s="4"/>
    </row>
    <row r="657" spans="1:5" x14ac:dyDescent="0.25">
      <c r="A657">
        <v>50110</v>
      </c>
      <c r="B657" s="2" t="s">
        <v>301</v>
      </c>
      <c r="C657" s="2" t="s">
        <v>302</v>
      </c>
      <c r="D657" s="2" t="s">
        <v>308</v>
      </c>
      <c r="E657" s="4"/>
    </row>
    <row r="658" spans="1:5" x14ac:dyDescent="0.25">
      <c r="A658">
        <v>10209</v>
      </c>
      <c r="B658" s="2" t="s">
        <v>92</v>
      </c>
      <c r="C658" s="2" t="s">
        <v>98</v>
      </c>
      <c r="D658" s="2" t="s">
        <v>99</v>
      </c>
      <c r="E658" s="4"/>
    </row>
    <row r="659" spans="1:5" x14ac:dyDescent="0.25">
      <c r="A659">
        <v>10403</v>
      </c>
      <c r="B659" s="2" t="s">
        <v>92</v>
      </c>
      <c r="C659" s="2" t="s">
        <v>98</v>
      </c>
      <c r="D659" s="2" t="s">
        <v>99</v>
      </c>
      <c r="E659" s="4"/>
    </row>
    <row r="660" spans="1:5" x14ac:dyDescent="0.25">
      <c r="A660">
        <v>50317</v>
      </c>
      <c r="B660" s="2" t="s">
        <v>301</v>
      </c>
      <c r="C660" s="2" t="s">
        <v>564</v>
      </c>
      <c r="D660" s="2" t="s">
        <v>99</v>
      </c>
      <c r="E660" s="4"/>
    </row>
    <row r="661" spans="1:5" ht="24" x14ac:dyDescent="0.25">
      <c r="A661">
        <v>120311</v>
      </c>
      <c r="B661" s="2" t="s">
        <v>608</v>
      </c>
      <c r="C661" s="2" t="s">
        <v>627</v>
      </c>
      <c r="D661" s="2" t="s">
        <v>637</v>
      </c>
      <c r="E661" s="4"/>
    </row>
    <row r="662" spans="1:5" x14ac:dyDescent="0.25">
      <c r="A662">
        <v>40514</v>
      </c>
      <c r="B662" s="2" t="s">
        <v>205</v>
      </c>
      <c r="C662" s="2" t="s">
        <v>237</v>
      </c>
      <c r="D662" s="2" t="s">
        <v>685</v>
      </c>
      <c r="E662" s="4"/>
    </row>
    <row r="663" spans="1:5" ht="24" x14ac:dyDescent="0.25">
      <c r="A663">
        <v>120101</v>
      </c>
      <c r="B663" s="2" t="s">
        <v>608</v>
      </c>
      <c r="C663" s="2" t="s">
        <v>609</v>
      </c>
      <c r="D663" s="2" t="s">
        <v>610</v>
      </c>
      <c r="E663" s="4">
        <v>0</v>
      </c>
    </row>
    <row r="664" spans="1:5" x14ac:dyDescent="0.25">
      <c r="A664">
        <v>91101</v>
      </c>
      <c r="B664" s="2" t="s">
        <v>508</v>
      </c>
      <c r="C664" s="2" t="s">
        <v>583</v>
      </c>
      <c r="D664" s="2" t="s">
        <v>584</v>
      </c>
      <c r="E664" s="4">
        <v>1</v>
      </c>
    </row>
    <row r="665" spans="1:5" x14ac:dyDescent="0.25">
      <c r="A665">
        <v>130411</v>
      </c>
      <c r="B665" s="2" t="s">
        <v>732</v>
      </c>
      <c r="C665" s="2" t="s">
        <v>753</v>
      </c>
      <c r="D665" s="2" t="s">
        <v>762</v>
      </c>
      <c r="E665" s="4"/>
    </row>
    <row r="666" spans="1:5" x14ac:dyDescent="0.25">
      <c r="A666">
        <v>40511</v>
      </c>
      <c r="B666" s="2" t="s">
        <v>205</v>
      </c>
      <c r="C666" s="2" t="s">
        <v>237</v>
      </c>
      <c r="D666" s="2" t="s">
        <v>245</v>
      </c>
      <c r="E666" s="4"/>
    </row>
    <row r="667" spans="1:5" ht="24" x14ac:dyDescent="0.25">
      <c r="A667">
        <v>120405</v>
      </c>
      <c r="B667" s="2" t="s">
        <v>608</v>
      </c>
      <c r="C667" s="2" t="s">
        <v>639</v>
      </c>
      <c r="D667" s="2" t="s">
        <v>644</v>
      </c>
      <c r="E667" s="4"/>
    </row>
    <row r="668" spans="1:5" x14ac:dyDescent="0.25">
      <c r="A668">
        <v>81101</v>
      </c>
      <c r="B668" s="2" t="s">
        <v>451</v>
      </c>
      <c r="C668" s="2" t="s">
        <v>504</v>
      </c>
      <c r="D668" s="2" t="s">
        <v>505</v>
      </c>
      <c r="E668" s="4"/>
    </row>
    <row r="669" spans="1:5" x14ac:dyDescent="0.25">
      <c r="A669">
        <v>50111</v>
      </c>
      <c r="B669" s="2" t="s">
        <v>301</v>
      </c>
      <c r="C669" s="2" t="s">
        <v>302</v>
      </c>
      <c r="D669" s="2" t="s">
        <v>309</v>
      </c>
      <c r="E669" s="4"/>
    </row>
    <row r="670" spans="1:5" x14ac:dyDescent="0.25">
      <c r="A670">
        <v>91205</v>
      </c>
      <c r="B670" s="2" t="s">
        <v>508</v>
      </c>
      <c r="C670" s="2" t="s">
        <v>591</v>
      </c>
      <c r="D670" s="2" t="s">
        <v>595</v>
      </c>
      <c r="E670" s="4">
        <v>0</v>
      </c>
    </row>
    <row r="671" spans="1:5" x14ac:dyDescent="0.25">
      <c r="A671">
        <v>10105</v>
      </c>
      <c r="B671" s="2" t="s">
        <v>92</v>
      </c>
      <c r="C671" s="2" t="s">
        <v>92</v>
      </c>
      <c r="D671" s="2" t="s">
        <v>97</v>
      </c>
      <c r="E671" s="4"/>
    </row>
    <row r="672" spans="1:5" x14ac:dyDescent="0.25">
      <c r="A672">
        <v>40308</v>
      </c>
      <c r="B672" s="2" t="s">
        <v>205</v>
      </c>
      <c r="C672" s="2" t="s">
        <v>222</v>
      </c>
      <c r="D672" s="2" t="s">
        <v>230</v>
      </c>
      <c r="E672" s="4">
        <v>0</v>
      </c>
    </row>
    <row r="673" spans="1:5" x14ac:dyDescent="0.25">
      <c r="A673">
        <v>40707</v>
      </c>
      <c r="B673" s="2" t="s">
        <v>205</v>
      </c>
      <c r="C673" s="2" t="s">
        <v>255</v>
      </c>
      <c r="D673" s="2" t="s">
        <v>262</v>
      </c>
      <c r="E673" s="4"/>
    </row>
    <row r="674" spans="1:5" x14ac:dyDescent="0.25">
      <c r="A674">
        <v>20609</v>
      </c>
      <c r="B674" s="2" t="s">
        <v>116</v>
      </c>
      <c r="C674" s="2" t="s">
        <v>154</v>
      </c>
      <c r="D674" s="2" t="s">
        <v>162</v>
      </c>
      <c r="E674" s="4">
        <v>0</v>
      </c>
    </row>
    <row r="675" spans="1:5" ht="24" x14ac:dyDescent="0.25">
      <c r="A675">
        <v>120706</v>
      </c>
      <c r="B675" s="2" t="s">
        <v>608</v>
      </c>
      <c r="C675" s="2" t="s">
        <v>660</v>
      </c>
      <c r="D675" s="2" t="s">
        <v>663</v>
      </c>
      <c r="E675" s="4"/>
    </row>
    <row r="676" spans="1:5" x14ac:dyDescent="0.25">
      <c r="A676">
        <v>80819</v>
      </c>
      <c r="B676" s="2" t="s">
        <v>451</v>
      </c>
      <c r="C676" s="2" t="s">
        <v>451</v>
      </c>
      <c r="D676" s="2" t="s">
        <v>488</v>
      </c>
      <c r="E676" s="4">
        <v>21</v>
      </c>
    </row>
    <row r="677" spans="1:5" x14ac:dyDescent="0.25">
      <c r="A677">
        <v>41301</v>
      </c>
      <c r="B677" s="2" t="s">
        <v>205</v>
      </c>
      <c r="C677" s="2" t="s">
        <v>292</v>
      </c>
      <c r="D677" s="2" t="s">
        <v>293</v>
      </c>
      <c r="E677" s="4"/>
    </row>
    <row r="678" spans="1:5" ht="24" x14ac:dyDescent="0.25">
      <c r="A678">
        <v>120611</v>
      </c>
      <c r="B678" s="2" t="s">
        <v>608</v>
      </c>
      <c r="C678" s="2" t="s">
        <v>655</v>
      </c>
      <c r="D678" s="2" t="s">
        <v>719</v>
      </c>
      <c r="E678" s="4"/>
    </row>
    <row r="679" spans="1:5" x14ac:dyDescent="0.25">
      <c r="A679">
        <v>70701</v>
      </c>
      <c r="B679" s="2" t="s">
        <v>374</v>
      </c>
      <c r="C679" s="2" t="s">
        <v>439</v>
      </c>
      <c r="D679" s="2" t="s">
        <v>440</v>
      </c>
      <c r="E679" s="4"/>
    </row>
    <row r="680" spans="1:5" x14ac:dyDescent="0.25">
      <c r="A680">
        <v>80508</v>
      </c>
      <c r="B680" s="2" t="s">
        <v>451</v>
      </c>
      <c r="C680" s="2" t="s">
        <v>330</v>
      </c>
      <c r="D680" s="2" t="s">
        <v>466</v>
      </c>
      <c r="E680" s="4">
        <v>1</v>
      </c>
    </row>
    <row r="681" spans="1:5" x14ac:dyDescent="0.25">
      <c r="A681">
        <v>20406</v>
      </c>
      <c r="B681" s="2" t="s">
        <v>116</v>
      </c>
      <c r="C681" s="2" t="s">
        <v>141</v>
      </c>
      <c r="D681" s="2" t="s">
        <v>147</v>
      </c>
      <c r="E681" s="4"/>
    </row>
    <row r="682" spans="1:5" x14ac:dyDescent="0.25">
      <c r="A682">
        <v>70312</v>
      </c>
      <c r="B682" s="2" t="s">
        <v>374</v>
      </c>
      <c r="C682" s="2" t="s">
        <v>374</v>
      </c>
      <c r="D682" s="2" t="s">
        <v>415</v>
      </c>
      <c r="E682" s="4"/>
    </row>
    <row r="683" spans="1:5" ht="24" x14ac:dyDescent="0.25">
      <c r="A683">
        <v>120805</v>
      </c>
      <c r="B683" s="2" t="s">
        <v>608</v>
      </c>
      <c r="C683" s="2" t="s">
        <v>720</v>
      </c>
      <c r="D683" s="2" t="s">
        <v>725</v>
      </c>
      <c r="E683" s="4">
        <v>1</v>
      </c>
    </row>
    <row r="684" spans="1:5" ht="24" x14ac:dyDescent="0.25">
      <c r="A684">
        <v>100104</v>
      </c>
      <c r="B684" s="2" t="s">
        <v>596</v>
      </c>
      <c r="C684" s="2" t="s">
        <v>596</v>
      </c>
      <c r="D684" s="2" t="s">
        <v>600</v>
      </c>
      <c r="E684" s="4">
        <v>0</v>
      </c>
    </row>
    <row r="685" spans="1:5" x14ac:dyDescent="0.25">
      <c r="A685">
        <v>50112</v>
      </c>
      <c r="B685" s="2" t="s">
        <v>301</v>
      </c>
      <c r="C685" s="2" t="s">
        <v>302</v>
      </c>
      <c r="D685" s="2" t="s">
        <v>310</v>
      </c>
      <c r="E685" s="4"/>
    </row>
    <row r="686" spans="1:5" x14ac:dyDescent="0.25">
      <c r="A686">
        <v>20610</v>
      </c>
      <c r="B686" s="2" t="s">
        <v>116</v>
      </c>
      <c r="C686" s="2" t="s">
        <v>154</v>
      </c>
      <c r="D686" s="2" t="s">
        <v>163</v>
      </c>
      <c r="E686" s="4"/>
    </row>
    <row r="687" spans="1:5" ht="24" x14ac:dyDescent="0.25">
      <c r="A687">
        <v>120312</v>
      </c>
      <c r="B687" s="2" t="s">
        <v>608</v>
      </c>
      <c r="C687" s="2" t="s">
        <v>627</v>
      </c>
      <c r="D687" s="2" t="s">
        <v>638</v>
      </c>
      <c r="E687" s="4"/>
    </row>
    <row r="688" spans="1:5" x14ac:dyDescent="0.25">
      <c r="A688">
        <v>90608</v>
      </c>
      <c r="B688" s="2" t="s">
        <v>508</v>
      </c>
      <c r="C688" s="2" t="s">
        <v>548</v>
      </c>
      <c r="D688" s="2" t="s">
        <v>555</v>
      </c>
      <c r="E688" s="4"/>
    </row>
    <row r="689" spans="1:5" x14ac:dyDescent="0.25">
      <c r="A689">
        <v>80605</v>
      </c>
      <c r="B689" s="2" t="s">
        <v>451</v>
      </c>
      <c r="C689" s="2" t="s">
        <v>467</v>
      </c>
      <c r="D689" s="2" t="s">
        <v>472</v>
      </c>
      <c r="E689" s="4"/>
    </row>
    <row r="690" spans="1:5" x14ac:dyDescent="0.25">
      <c r="A690">
        <v>91012</v>
      </c>
      <c r="B690" s="2" t="s">
        <v>508</v>
      </c>
      <c r="C690" s="2" t="s">
        <v>573</v>
      </c>
      <c r="D690" s="2" t="s">
        <v>582</v>
      </c>
      <c r="E690" s="4"/>
    </row>
    <row r="691" spans="1:5" x14ac:dyDescent="0.25">
      <c r="A691">
        <v>90704</v>
      </c>
      <c r="B691" s="2" t="s">
        <v>508</v>
      </c>
      <c r="C691" s="2" t="s">
        <v>556</v>
      </c>
      <c r="D691" s="2" t="s">
        <v>558</v>
      </c>
      <c r="E691" s="4"/>
    </row>
    <row r="692" spans="1:5" ht="24" x14ac:dyDescent="0.25">
      <c r="A692">
        <v>120905</v>
      </c>
      <c r="B692" s="2" t="s">
        <v>608</v>
      </c>
      <c r="C692" s="2" t="s">
        <v>726</v>
      </c>
      <c r="D692" s="2" t="s">
        <v>731</v>
      </c>
      <c r="E692" s="4"/>
    </row>
    <row r="693" spans="1:5" x14ac:dyDescent="0.25">
      <c r="A693">
        <v>10405</v>
      </c>
      <c r="B693" s="2" t="s">
        <v>92</v>
      </c>
      <c r="C693" s="2" t="s">
        <v>98</v>
      </c>
      <c r="D693" s="2" t="s">
        <v>672</v>
      </c>
      <c r="E693" s="4"/>
    </row>
    <row r="694" spans="1:5" x14ac:dyDescent="0.25">
      <c r="A694">
        <v>10406</v>
      </c>
      <c r="B694" s="2" t="s">
        <v>92</v>
      </c>
      <c r="C694" s="2" t="s">
        <v>98</v>
      </c>
      <c r="D694" s="2" t="s">
        <v>673</v>
      </c>
      <c r="E694" s="4"/>
    </row>
    <row r="695" spans="1:5" x14ac:dyDescent="0.25">
      <c r="A695">
        <v>70223</v>
      </c>
      <c r="B695" s="2" t="s">
        <v>374</v>
      </c>
      <c r="C695" s="2" t="s">
        <v>105</v>
      </c>
      <c r="D695" s="2" t="s">
        <v>405</v>
      </c>
      <c r="E695" s="4"/>
    </row>
    <row r="696" spans="1:5" x14ac:dyDescent="0.25">
      <c r="A696">
        <v>70224</v>
      </c>
      <c r="B696" s="2" t="s">
        <v>374</v>
      </c>
      <c r="C696" s="2" t="s">
        <v>105</v>
      </c>
      <c r="D696" s="2" t="s">
        <v>406</v>
      </c>
      <c r="E696" s="4"/>
    </row>
    <row r="697" spans="1:5" x14ac:dyDescent="0.25">
      <c r="A697">
        <v>41309</v>
      </c>
      <c r="B697" s="2" t="s">
        <v>205</v>
      </c>
      <c r="C697" s="2" t="s">
        <v>292</v>
      </c>
      <c r="D697" s="2" t="s">
        <v>300</v>
      </c>
      <c r="E697" s="4"/>
    </row>
    <row r="698" spans="1:5" x14ac:dyDescent="0.25">
      <c r="A698">
        <v>130105</v>
      </c>
      <c r="B698" s="2" t="s">
        <v>732</v>
      </c>
      <c r="C698" s="2" t="s">
        <v>733</v>
      </c>
      <c r="D698" s="2" t="s">
        <v>737</v>
      </c>
      <c r="E698" s="4">
        <v>18</v>
      </c>
    </row>
    <row r="699" spans="1:5" x14ac:dyDescent="0.25">
      <c r="A699">
        <v>81005</v>
      </c>
      <c r="B699" s="2" t="s">
        <v>451</v>
      </c>
      <c r="C699" s="2" t="s">
        <v>494</v>
      </c>
      <c r="D699" s="2" t="s">
        <v>499</v>
      </c>
      <c r="E699" s="4">
        <v>2</v>
      </c>
    </row>
    <row r="700" spans="1:5" x14ac:dyDescent="0.25">
      <c r="A700">
        <v>30508</v>
      </c>
      <c r="B700" s="2" t="s">
        <v>164</v>
      </c>
      <c r="C700" s="2" t="s">
        <v>198</v>
      </c>
      <c r="D700" s="2" t="s">
        <v>204</v>
      </c>
      <c r="E700" s="4"/>
    </row>
    <row r="701" spans="1:5" x14ac:dyDescent="0.25">
      <c r="A701">
        <v>90511</v>
      </c>
      <c r="B701" s="2" t="s">
        <v>508</v>
      </c>
      <c r="C701" s="2" t="s">
        <v>426</v>
      </c>
      <c r="D701" s="2" t="s">
        <v>546</v>
      </c>
      <c r="E701" s="4"/>
    </row>
    <row r="702" spans="1:5" x14ac:dyDescent="0.25">
      <c r="A702">
        <v>130311</v>
      </c>
      <c r="B702" s="2" t="s">
        <v>732</v>
      </c>
      <c r="C702" s="2" t="s">
        <v>741</v>
      </c>
      <c r="D702" s="2" t="s">
        <v>750</v>
      </c>
      <c r="E702" s="4"/>
    </row>
    <row r="703" spans="1:5" x14ac:dyDescent="0.25">
      <c r="A703">
        <v>70314</v>
      </c>
      <c r="B703" s="2" t="s">
        <v>374</v>
      </c>
      <c r="C703" s="2" t="s">
        <v>374</v>
      </c>
      <c r="D703" s="2" t="s">
        <v>417</v>
      </c>
      <c r="E703" s="4"/>
    </row>
    <row r="704" spans="1:5" x14ac:dyDescent="0.25">
      <c r="A704">
        <v>130312</v>
      </c>
      <c r="B704" s="2" t="s">
        <v>732</v>
      </c>
      <c r="C704" s="2" t="s">
        <v>741</v>
      </c>
      <c r="D704" s="2" t="s">
        <v>751</v>
      </c>
      <c r="E704" s="4">
        <v>0</v>
      </c>
    </row>
    <row r="705" spans="1:5" x14ac:dyDescent="0.25">
      <c r="A705">
        <v>20407</v>
      </c>
      <c r="B705" s="2" t="s">
        <v>116</v>
      </c>
      <c r="C705" s="2" t="s">
        <v>141</v>
      </c>
      <c r="D705" s="2" t="s">
        <v>679</v>
      </c>
      <c r="E705" s="4">
        <v>0</v>
      </c>
    </row>
    <row r="706" spans="1:5" x14ac:dyDescent="0.25">
      <c r="A706">
        <v>20107</v>
      </c>
      <c r="B706" s="2" t="s">
        <v>116</v>
      </c>
      <c r="C706" s="2" t="s">
        <v>117</v>
      </c>
      <c r="D706" s="2" t="s">
        <v>676</v>
      </c>
      <c r="E706" s="4"/>
    </row>
    <row r="707" spans="1:5" x14ac:dyDescent="0.25">
      <c r="A707">
        <v>130106</v>
      </c>
      <c r="B707" s="2" t="s">
        <v>732</v>
      </c>
      <c r="C707" s="2" t="s">
        <v>733</v>
      </c>
      <c r="D707" s="2" t="s">
        <v>738</v>
      </c>
      <c r="E707" s="4">
        <v>10</v>
      </c>
    </row>
    <row r="708" spans="1:5" x14ac:dyDescent="0.25">
      <c r="A708">
        <v>41401</v>
      </c>
      <c r="B708" s="2" t="s">
        <v>205</v>
      </c>
      <c r="C708" s="2" t="s">
        <v>689</v>
      </c>
      <c r="D708" s="2" t="s">
        <v>690</v>
      </c>
      <c r="E708" s="4">
        <v>1</v>
      </c>
    </row>
    <row r="709" spans="1:5" x14ac:dyDescent="0.25">
      <c r="A709">
        <v>50206</v>
      </c>
      <c r="B709" s="2" t="s">
        <v>301</v>
      </c>
      <c r="C709" s="2" t="s">
        <v>312</v>
      </c>
      <c r="D709" s="2" t="s">
        <v>317</v>
      </c>
      <c r="E709" s="4"/>
    </row>
    <row r="710" spans="1:5" x14ac:dyDescent="0.25">
      <c r="A710">
        <v>50207</v>
      </c>
      <c r="B710" s="2" t="s">
        <v>301</v>
      </c>
      <c r="C710" s="2" t="s">
        <v>312</v>
      </c>
      <c r="D710" s="2" t="s">
        <v>318</v>
      </c>
      <c r="E710" s="4">
        <v>0</v>
      </c>
    </row>
    <row r="711" spans="1:5" x14ac:dyDescent="0.25">
      <c r="A711">
        <v>50207</v>
      </c>
      <c r="B711" s="2" t="s">
        <v>301</v>
      </c>
      <c r="C711" s="2" t="s">
        <v>312</v>
      </c>
      <c r="D711" s="2" t="s">
        <v>318</v>
      </c>
      <c r="E711" s="4">
        <v>0</v>
      </c>
    </row>
    <row r="712" spans="1:5" x14ac:dyDescent="0.25">
      <c r="A712">
        <v>50317</v>
      </c>
      <c r="B712" s="2" t="s">
        <v>301</v>
      </c>
      <c r="C712" s="2" t="s">
        <v>564</v>
      </c>
      <c r="D712" s="2" t="s">
        <v>699</v>
      </c>
      <c r="E712" s="4"/>
    </row>
    <row r="713" spans="1:5" x14ac:dyDescent="0.25">
      <c r="A713">
        <v>50317</v>
      </c>
      <c r="B713" s="2" t="s">
        <v>301</v>
      </c>
      <c r="C713" s="2" t="s">
        <v>564</v>
      </c>
      <c r="D713" s="2" t="s">
        <v>699</v>
      </c>
      <c r="E713" s="4"/>
    </row>
    <row r="714" spans="1:5" x14ac:dyDescent="0.25">
      <c r="A714">
        <v>90512</v>
      </c>
      <c r="B714" s="2" t="s">
        <v>508</v>
      </c>
      <c r="C714" s="2" t="s">
        <v>426</v>
      </c>
      <c r="D714" s="2" t="s">
        <v>547</v>
      </c>
      <c r="E714" s="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2B3E-3274-49DF-8946-9C3DDB8C2B22}">
  <dimension ref="A2:CN714"/>
  <sheetViews>
    <sheetView showGridLines="0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A3" sqref="A3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9.140625" customWidth="1"/>
    <col min="6" max="27" width="9.28515625" bestFit="1" customWidth="1"/>
    <col min="28" max="36" width="7.7109375" bestFit="1" customWidth="1"/>
    <col min="37" max="57" width="8.7109375" bestFit="1" customWidth="1"/>
    <col min="58" max="66" width="8.5703125" bestFit="1" customWidth="1"/>
    <col min="67" max="88" width="9.5703125" bestFit="1" customWidth="1"/>
    <col min="89" max="92" width="7.7109375" bestFit="1" customWidth="1"/>
  </cols>
  <sheetData>
    <row r="2" spans="1:92" ht="15.75" x14ac:dyDescent="0.25">
      <c r="E2" s="5">
        <f>SUM(Recupera_PN[10-mar])</f>
        <v>0</v>
      </c>
      <c r="F2" s="3">
        <f>SUM(Recupera_PN[10-mar])</f>
        <v>0</v>
      </c>
      <c r="G2" s="3">
        <f>SUM(Recupera_PN[11-mar])</f>
        <v>0</v>
      </c>
      <c r="H2" s="3">
        <f>SUM(Recupera_PN[12-mar])</f>
        <v>0</v>
      </c>
      <c r="I2" s="3">
        <f>SUM(Recupera_PN[13-mar])</f>
        <v>0</v>
      </c>
      <c r="J2" s="3">
        <f>SUM(Recupera_PN[14-mar])</f>
        <v>0</v>
      </c>
      <c r="K2" s="3">
        <f>SUM(Recupera_PN[15-mar])</f>
        <v>0</v>
      </c>
      <c r="L2" s="3">
        <f>SUM(Recupera_PN[16-mar])</f>
        <v>0</v>
      </c>
      <c r="M2" s="3">
        <f>SUM(Recupera_PN[17-mar])</f>
        <v>0</v>
      </c>
      <c r="N2" s="3">
        <f>SUM(Recupera_PN[18-mar])</f>
        <v>0</v>
      </c>
      <c r="O2" s="3">
        <f>SUM(Recupera_PN[19-mar])</f>
        <v>0</v>
      </c>
      <c r="P2" s="3">
        <f>SUM(Recupera_PN[20-mar])</f>
        <v>0</v>
      </c>
      <c r="Q2" s="3">
        <f>SUM(Recupera_PN[21-mar])</f>
        <v>0</v>
      </c>
      <c r="R2" s="3">
        <f>SUM(Recupera_PN[22-mar])</f>
        <v>0</v>
      </c>
      <c r="S2" s="3">
        <f>SUM(Recupera_PN[23-mar])</f>
        <v>0</v>
      </c>
      <c r="T2" s="3">
        <f>SUM(Recupera_PN[24-mar])</f>
        <v>0</v>
      </c>
      <c r="U2" s="3">
        <f>SUM(Recupera_PN[25-mar])</f>
        <v>0</v>
      </c>
      <c r="V2" s="3">
        <f>SUM(Recupera_PN[26-mar])</f>
        <v>0</v>
      </c>
      <c r="W2" s="3">
        <f>SUM(Recupera_PN[27-mar])</f>
        <v>0</v>
      </c>
      <c r="X2" s="3">
        <f>SUM(Recupera_PN[28-mar])</f>
        <v>0</v>
      </c>
      <c r="Y2" s="3">
        <f>SUM(Recupera_PN[29-mar])</f>
        <v>0</v>
      </c>
      <c r="Z2" s="3">
        <f>SUM(Recupera_PN[30-mar])</f>
        <v>0</v>
      </c>
      <c r="AA2" s="3">
        <f>SUM(Recupera_PN[31-mar])</f>
        <v>0</v>
      </c>
      <c r="AB2" s="3">
        <f>SUM(Recupera_PN[1-abr])</f>
        <v>0</v>
      </c>
      <c r="AC2" s="3">
        <f>SUM(Recupera_PN[2-abr])</f>
        <v>0</v>
      </c>
      <c r="AD2" s="3">
        <f>SUM(Recupera_PN[3-abr])</f>
        <v>0</v>
      </c>
      <c r="AE2" s="3">
        <f>SUM(Recupera_PN[4-abr])</f>
        <v>0</v>
      </c>
      <c r="AF2" s="3">
        <f>SUM(Recupera_PN[5-abr])</f>
        <v>0</v>
      </c>
      <c r="AG2" s="3">
        <f>SUM(Recupera_PN[6-abr])</f>
        <v>0</v>
      </c>
      <c r="AH2" s="3">
        <f>SUM(Recupera_PN[7-abr])</f>
        <v>0</v>
      </c>
      <c r="AI2" s="3">
        <f>SUM(Recupera_PN[8-abr])</f>
        <v>0</v>
      </c>
      <c r="AJ2" s="3">
        <f>SUM(Recupera_PN[9-abr])</f>
        <v>0</v>
      </c>
      <c r="AK2" s="3">
        <f>SUM(Recupera_PN[10-abr])</f>
        <v>0</v>
      </c>
      <c r="AL2" s="3">
        <f>SUM(Recupera_PN[11-abr])</f>
        <v>0</v>
      </c>
      <c r="AM2" s="3">
        <f>SUM(Recupera_PN[12-abr])</f>
        <v>0</v>
      </c>
      <c r="AN2" s="3">
        <f>SUM(Recupera_PN[13-abr])</f>
        <v>0</v>
      </c>
      <c r="AO2" s="3">
        <f>SUM(Recupera_PN[14-abr])</f>
        <v>0</v>
      </c>
      <c r="AP2" s="3">
        <f>SUM(Recupera_PN[15-abr])</f>
        <v>0</v>
      </c>
      <c r="AQ2" s="3">
        <f>SUM(Recupera_PN[16-abr])</f>
        <v>0</v>
      </c>
      <c r="AR2" s="3">
        <f>SUM(Recupera_PN[17-abr])</f>
        <v>0</v>
      </c>
      <c r="AS2" s="3">
        <f>SUM(Recupera_PN[18-abr])</f>
        <v>0</v>
      </c>
      <c r="AT2" s="3">
        <f>SUM(Recupera_PN[19-abr])</f>
        <v>0</v>
      </c>
      <c r="AU2" s="3">
        <f>SUM(Recupera_PN[20-abr])</f>
        <v>0</v>
      </c>
      <c r="AV2" s="3">
        <f>SUM(Recupera_PN[21-abr])</f>
        <v>0</v>
      </c>
      <c r="AW2" s="3">
        <f>SUM(Recupera_PN[22-abr])</f>
        <v>0</v>
      </c>
      <c r="AX2" s="3">
        <f>SUM(Recupera_PN[23-abr])</f>
        <v>0</v>
      </c>
      <c r="AY2" s="3">
        <f>SUM(Recupera_PN[24-abr])</f>
        <v>0</v>
      </c>
      <c r="AZ2" s="3">
        <f>SUM(Recupera_PN[25-abr])</f>
        <v>0</v>
      </c>
      <c r="BA2" s="3">
        <f>SUM(Recupera_PN[26-abr])</f>
        <v>0</v>
      </c>
      <c r="BB2" s="3">
        <f>SUM(Recupera_PN[27-abr])</f>
        <v>0</v>
      </c>
      <c r="BC2" s="3">
        <f>SUM(Recupera_PN[28-abr])</f>
        <v>0</v>
      </c>
      <c r="BD2" s="3">
        <f>SUM(Recupera_PN[29-abr])</f>
        <v>0</v>
      </c>
      <c r="BE2" s="3">
        <f>SUM(Recupera_PN[30-abr])</f>
        <v>0</v>
      </c>
      <c r="BF2" s="3">
        <f>SUM(Recupera_PN[1-may])</f>
        <v>0</v>
      </c>
      <c r="BG2" s="3">
        <f>SUM(Recupera_PN[2-may])</f>
        <v>0</v>
      </c>
      <c r="BH2" s="3">
        <f>SUM(Recupera_PN[3-may])</f>
        <v>0</v>
      </c>
      <c r="BI2" s="3">
        <f>SUM(Recupera_PN[4-may])</f>
        <v>0</v>
      </c>
      <c r="BJ2" s="3">
        <f>SUM(Recupera_PN[5-may])</f>
        <v>0</v>
      </c>
      <c r="BK2" s="3">
        <f>SUM(Recupera_PN[6-may])</f>
        <v>0</v>
      </c>
      <c r="BL2" s="3">
        <f>SUM(Recupera_PN[7-may])</f>
        <v>0</v>
      </c>
      <c r="BM2" s="3">
        <f>SUM(Recupera_PN[8-may])</f>
        <v>0</v>
      </c>
      <c r="BN2" s="3">
        <f>SUM(Recupera_PN[9-may])</f>
        <v>0</v>
      </c>
      <c r="BO2" s="3">
        <f>SUM(Recupera_PN[10-may])</f>
        <v>0</v>
      </c>
      <c r="BP2" s="3">
        <f>SUM(Recupera_PN[11-may])</f>
        <v>0</v>
      </c>
      <c r="BQ2" s="3">
        <f>SUM(Recupera_PN[12-may])</f>
        <v>0</v>
      </c>
      <c r="BR2" s="3">
        <f>SUM(Recupera_PN[13-may])</f>
        <v>0</v>
      </c>
      <c r="BS2" s="3">
        <f>SUM(Recupera_PN[14-may])</f>
        <v>0</v>
      </c>
      <c r="BT2" s="3">
        <f>SUM(Recupera_PN[15-may])</f>
        <v>0</v>
      </c>
      <c r="BU2" s="3">
        <f>SUM(Recupera_PN[16-may])</f>
        <v>0</v>
      </c>
      <c r="BV2" s="3">
        <f>SUM(Recupera_PN[17-may])</f>
        <v>0</v>
      </c>
      <c r="BW2" s="3">
        <f>SUM(Recupera_PN[18-may])</f>
        <v>0</v>
      </c>
      <c r="BX2" s="3">
        <f>SUM(Recupera_PN[19-may])</f>
        <v>0</v>
      </c>
      <c r="BY2" s="3">
        <f>SUM(Recupera_PN[20-may])</f>
        <v>0</v>
      </c>
      <c r="BZ2" s="3">
        <f>SUM(Recupera_PN[21-may])</f>
        <v>0</v>
      </c>
      <c r="CA2" s="3">
        <f>SUM(Recupera_PN[22-may])</f>
        <v>0</v>
      </c>
      <c r="CB2" s="3">
        <f>SUM(Recupera_PN[23-may])</f>
        <v>0</v>
      </c>
      <c r="CC2" s="3">
        <f>SUM(Recupera_PN[24-may])</f>
        <v>0</v>
      </c>
      <c r="CD2" s="3">
        <f>SUM(Recupera_PN[25-may])</f>
        <v>0</v>
      </c>
      <c r="CE2" s="3">
        <f>SUM(Recupera_PN[26-may])</f>
        <v>0</v>
      </c>
      <c r="CF2" s="3">
        <f>SUM(Recupera_PN[27-may])</f>
        <v>0</v>
      </c>
      <c r="CG2" s="3">
        <f>SUM(Recupera_PN[28-may])</f>
        <v>0</v>
      </c>
      <c r="CH2" s="3">
        <f>SUM(Recupera_PN[29-may])</f>
        <v>0</v>
      </c>
      <c r="CI2" s="3">
        <f>SUM(Recupera_PN[30-may])</f>
        <v>0</v>
      </c>
      <c r="CJ2" s="3">
        <f>SUM(Recupera_PN[31-may])</f>
        <v>0</v>
      </c>
      <c r="CK2" s="3">
        <f>SUM(Recupera_PN[1-jun])</f>
        <v>0</v>
      </c>
      <c r="CL2" s="3">
        <f>SUM(Recupera_PN[2-jun])</f>
        <v>0</v>
      </c>
      <c r="CM2" s="3">
        <f>SUM(Recupera_PN[3-jun])</f>
        <v>0</v>
      </c>
      <c r="CN2" s="3">
        <f>SUM(Recupera_PN[4-jun])</f>
        <v>0</v>
      </c>
    </row>
    <row r="3" spans="1:92" s="6" customFormat="1" ht="25.9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7" t="s">
        <v>53</v>
      </c>
      <c r="BC3" s="7" t="s">
        <v>54</v>
      </c>
      <c r="BD3" s="7" t="s">
        <v>55</v>
      </c>
      <c r="BE3" s="7" t="s">
        <v>56</v>
      </c>
      <c r="BF3" s="7" t="s">
        <v>57</v>
      </c>
      <c r="BG3" s="7" t="s">
        <v>58</v>
      </c>
      <c r="BH3" s="7" t="s">
        <v>59</v>
      </c>
      <c r="BI3" s="7" t="s">
        <v>60</v>
      </c>
      <c r="BJ3" s="7" t="s">
        <v>61</v>
      </c>
      <c r="BK3" s="7" t="s">
        <v>62</v>
      </c>
      <c r="BL3" s="7" t="s">
        <v>63</v>
      </c>
      <c r="BM3" s="7" t="s">
        <v>64</v>
      </c>
      <c r="BN3" s="7" t="s">
        <v>65</v>
      </c>
      <c r="BO3" s="7" t="s">
        <v>66</v>
      </c>
      <c r="BP3" s="7" t="s">
        <v>67</v>
      </c>
      <c r="BQ3" s="7" t="s">
        <v>68</v>
      </c>
      <c r="BR3" s="7" t="s">
        <v>69</v>
      </c>
      <c r="BS3" s="7" t="s">
        <v>70</v>
      </c>
      <c r="BT3" s="7" t="s">
        <v>71</v>
      </c>
      <c r="BU3" s="7" t="s">
        <v>72</v>
      </c>
      <c r="BV3" s="7" t="s">
        <v>73</v>
      </c>
      <c r="BW3" s="7" t="s">
        <v>74</v>
      </c>
      <c r="BX3" s="7" t="s">
        <v>75</v>
      </c>
      <c r="BY3" s="7" t="s">
        <v>76</v>
      </c>
      <c r="BZ3" s="7" t="s">
        <v>77</v>
      </c>
      <c r="CA3" s="7" t="s">
        <v>78</v>
      </c>
      <c r="CB3" s="7" t="s">
        <v>79</v>
      </c>
      <c r="CC3" s="7" t="s">
        <v>80</v>
      </c>
      <c r="CD3" s="7" t="s">
        <v>81</v>
      </c>
      <c r="CE3" s="7" t="s">
        <v>82</v>
      </c>
      <c r="CF3" s="7" t="s">
        <v>83</v>
      </c>
      <c r="CG3" s="7" t="s">
        <v>84</v>
      </c>
      <c r="CH3" s="7" t="s">
        <v>85</v>
      </c>
      <c r="CI3" s="7" t="s">
        <v>86</v>
      </c>
      <c r="CJ3" s="7" t="s">
        <v>87</v>
      </c>
      <c r="CK3" s="7" t="s">
        <v>88</v>
      </c>
      <c r="CL3" s="7" t="s">
        <v>89</v>
      </c>
      <c r="CM3" s="7" t="s">
        <v>90</v>
      </c>
      <c r="CN3" s="7" t="s">
        <v>91</v>
      </c>
    </row>
    <row r="4" spans="1:92" x14ac:dyDescent="0.25">
      <c r="A4">
        <v>10101</v>
      </c>
      <c r="B4" s="2" t="s">
        <v>92</v>
      </c>
      <c r="C4" s="2" t="s">
        <v>92</v>
      </c>
      <c r="D4" s="2" t="s">
        <v>93</v>
      </c>
      <c r="E4" s="4">
        <f>SUM(F4:AEZ4)</f>
        <v>0</v>
      </c>
    </row>
    <row r="5" spans="1:92" x14ac:dyDescent="0.25">
      <c r="A5">
        <v>10102</v>
      </c>
      <c r="B5" s="2" t="s">
        <v>92</v>
      </c>
      <c r="C5" s="2" t="s">
        <v>92</v>
      </c>
      <c r="D5" s="2" t="s">
        <v>94</v>
      </c>
      <c r="E5" s="4">
        <f t="shared" ref="E5:E68" si="0">SUM(F5:AEZ5)</f>
        <v>0</v>
      </c>
      <c r="R5" s="1"/>
    </row>
    <row r="6" spans="1:92" x14ac:dyDescent="0.25">
      <c r="A6">
        <v>10103</v>
      </c>
      <c r="B6" s="2" t="s">
        <v>92</v>
      </c>
      <c r="C6" s="2" t="s">
        <v>92</v>
      </c>
      <c r="D6" s="2" t="s">
        <v>95</v>
      </c>
      <c r="E6" s="4">
        <f t="shared" si="0"/>
        <v>0</v>
      </c>
      <c r="R6" s="1"/>
    </row>
    <row r="7" spans="1:92" x14ac:dyDescent="0.25">
      <c r="A7">
        <v>10104</v>
      </c>
      <c r="B7" s="2" t="s">
        <v>92</v>
      </c>
      <c r="C7" s="2" t="s">
        <v>92</v>
      </c>
      <c r="D7" s="2" t="s">
        <v>96</v>
      </c>
      <c r="E7" s="4">
        <f t="shared" si="0"/>
        <v>0</v>
      </c>
      <c r="R7" s="1"/>
    </row>
    <row r="8" spans="1:92" x14ac:dyDescent="0.25">
      <c r="A8">
        <v>10105</v>
      </c>
      <c r="B8" s="2" t="s">
        <v>92</v>
      </c>
      <c r="C8" s="2" t="s">
        <v>92</v>
      </c>
      <c r="D8" s="2" t="s">
        <v>97</v>
      </c>
      <c r="E8" s="4">
        <f t="shared" si="0"/>
        <v>0</v>
      </c>
      <c r="R8" s="1"/>
    </row>
    <row r="9" spans="1:92" x14ac:dyDescent="0.25">
      <c r="A9">
        <v>10209</v>
      </c>
      <c r="B9" s="2" t="s">
        <v>92</v>
      </c>
      <c r="C9" s="2" t="s">
        <v>98</v>
      </c>
      <c r="D9" s="2" t="s">
        <v>99</v>
      </c>
      <c r="E9" s="4">
        <f t="shared" si="0"/>
        <v>0</v>
      </c>
      <c r="R9" s="1"/>
    </row>
    <row r="10" spans="1:92" x14ac:dyDescent="0.25">
      <c r="A10">
        <v>10201</v>
      </c>
      <c r="B10" s="2" t="s">
        <v>92</v>
      </c>
      <c r="C10" s="2" t="s">
        <v>100</v>
      </c>
      <c r="D10" s="2" t="s">
        <v>101</v>
      </c>
      <c r="E10" s="4">
        <f t="shared" si="0"/>
        <v>0</v>
      </c>
      <c r="R10" s="1"/>
    </row>
    <row r="11" spans="1:92" x14ac:dyDescent="0.25">
      <c r="A11">
        <v>10203</v>
      </c>
      <c r="B11" s="2" t="s">
        <v>92</v>
      </c>
      <c r="C11" s="2" t="s">
        <v>100</v>
      </c>
      <c r="D11" s="2" t="s">
        <v>102</v>
      </c>
      <c r="E11" s="4">
        <f t="shared" si="0"/>
        <v>0</v>
      </c>
      <c r="R11" s="1"/>
    </row>
    <row r="12" spans="1:92" x14ac:dyDescent="0.25">
      <c r="A12">
        <v>10204</v>
      </c>
      <c r="B12" s="2" t="s">
        <v>92</v>
      </c>
      <c r="C12" s="2" t="s">
        <v>100</v>
      </c>
      <c r="D12" s="2" t="s">
        <v>103</v>
      </c>
      <c r="E12" s="4">
        <f t="shared" si="0"/>
        <v>0</v>
      </c>
      <c r="R12" s="1"/>
    </row>
    <row r="13" spans="1:92" x14ac:dyDescent="0.25">
      <c r="A13">
        <v>10206</v>
      </c>
      <c r="B13" s="2" t="s">
        <v>92</v>
      </c>
      <c r="C13" s="2" t="s">
        <v>100</v>
      </c>
      <c r="D13" s="2" t="s">
        <v>104</v>
      </c>
      <c r="E13" s="4">
        <f t="shared" si="0"/>
        <v>0</v>
      </c>
      <c r="R13" s="1"/>
    </row>
    <row r="14" spans="1:92" x14ac:dyDescent="0.25">
      <c r="A14">
        <v>10207</v>
      </c>
      <c r="B14" s="2" t="s">
        <v>92</v>
      </c>
      <c r="C14" s="2" t="s">
        <v>100</v>
      </c>
      <c r="D14" s="2" t="s">
        <v>105</v>
      </c>
      <c r="E14" s="4">
        <f t="shared" si="0"/>
        <v>0</v>
      </c>
      <c r="R14" s="1"/>
    </row>
    <row r="15" spans="1:92" x14ac:dyDescent="0.25">
      <c r="A15">
        <v>10208</v>
      </c>
      <c r="B15" s="2" t="s">
        <v>92</v>
      </c>
      <c r="C15" s="2" t="s">
        <v>100</v>
      </c>
      <c r="D15" s="2" t="s">
        <v>106</v>
      </c>
      <c r="E15" s="4">
        <f t="shared" si="0"/>
        <v>0</v>
      </c>
      <c r="R15" s="1"/>
    </row>
    <row r="16" spans="1:92" x14ac:dyDescent="0.25">
      <c r="A16">
        <v>10209</v>
      </c>
      <c r="B16" s="2" t="s">
        <v>92</v>
      </c>
      <c r="C16" s="2" t="s">
        <v>100</v>
      </c>
      <c r="D16" s="2" t="s">
        <v>107</v>
      </c>
      <c r="E16" s="4">
        <f t="shared" si="0"/>
        <v>0</v>
      </c>
      <c r="R16" s="1"/>
    </row>
    <row r="17" spans="1:18" x14ac:dyDescent="0.25">
      <c r="A17">
        <v>10210</v>
      </c>
      <c r="B17" s="2" t="s">
        <v>92</v>
      </c>
      <c r="C17" s="2" t="s">
        <v>100</v>
      </c>
      <c r="D17" s="2" t="s">
        <v>108</v>
      </c>
      <c r="E17" s="4">
        <f t="shared" si="0"/>
        <v>0</v>
      </c>
      <c r="R17" s="1"/>
    </row>
    <row r="18" spans="1:18" x14ac:dyDescent="0.25">
      <c r="A18">
        <v>10301</v>
      </c>
      <c r="B18" s="2" t="s">
        <v>92</v>
      </c>
      <c r="C18" s="2" t="s">
        <v>109</v>
      </c>
      <c r="D18" s="2" t="s">
        <v>110</v>
      </c>
      <c r="E18" s="4">
        <f t="shared" si="0"/>
        <v>0</v>
      </c>
      <c r="R18" s="1"/>
    </row>
    <row r="19" spans="1:18" x14ac:dyDescent="0.25">
      <c r="A19">
        <v>10302</v>
      </c>
      <c r="B19" s="2" t="s">
        <v>92</v>
      </c>
      <c r="C19" s="2" t="s">
        <v>109</v>
      </c>
      <c r="D19" s="2" t="s">
        <v>111</v>
      </c>
      <c r="E19" s="4">
        <f t="shared" si="0"/>
        <v>0</v>
      </c>
      <c r="R19" s="1"/>
    </row>
    <row r="20" spans="1:18" x14ac:dyDescent="0.25">
      <c r="A20">
        <v>10303</v>
      </c>
      <c r="B20" s="2" t="s">
        <v>92</v>
      </c>
      <c r="C20" s="2" t="s">
        <v>109</v>
      </c>
      <c r="D20" s="2" t="s">
        <v>112</v>
      </c>
      <c r="E20" s="4">
        <f t="shared" si="0"/>
        <v>0</v>
      </c>
      <c r="R20" s="1"/>
    </row>
    <row r="21" spans="1:18" x14ac:dyDescent="0.25">
      <c r="A21">
        <v>10304</v>
      </c>
      <c r="B21" s="2" t="s">
        <v>92</v>
      </c>
      <c r="C21" s="2" t="s">
        <v>109</v>
      </c>
      <c r="D21" s="2" t="s">
        <v>113</v>
      </c>
      <c r="E21" s="4">
        <f t="shared" si="0"/>
        <v>0</v>
      </c>
      <c r="R21" s="1"/>
    </row>
    <row r="22" spans="1:18" x14ac:dyDescent="0.25">
      <c r="A22">
        <v>10305</v>
      </c>
      <c r="B22" s="2" t="s">
        <v>92</v>
      </c>
      <c r="C22" s="2" t="s">
        <v>109</v>
      </c>
      <c r="D22" s="2" t="s">
        <v>114</v>
      </c>
      <c r="E22" s="4">
        <f t="shared" si="0"/>
        <v>0</v>
      </c>
      <c r="R22" s="1"/>
    </row>
    <row r="23" spans="1:18" x14ac:dyDescent="0.25">
      <c r="A23">
        <v>10306</v>
      </c>
      <c r="B23" s="2" t="s">
        <v>92</v>
      </c>
      <c r="C23" s="2" t="s">
        <v>109</v>
      </c>
      <c r="D23" s="2" t="s">
        <v>115</v>
      </c>
      <c r="E23" s="4">
        <f t="shared" si="0"/>
        <v>0</v>
      </c>
      <c r="R23" s="1"/>
    </row>
    <row r="24" spans="1:18" x14ac:dyDescent="0.25">
      <c r="A24">
        <v>20101</v>
      </c>
      <c r="B24" s="2" t="s">
        <v>116</v>
      </c>
      <c r="C24" s="2" t="s">
        <v>117</v>
      </c>
      <c r="D24" s="2" t="s">
        <v>118</v>
      </c>
      <c r="E24" s="4">
        <f t="shared" si="0"/>
        <v>0</v>
      </c>
      <c r="R24" s="1"/>
    </row>
    <row r="25" spans="1:18" x14ac:dyDescent="0.25">
      <c r="A25">
        <v>20102</v>
      </c>
      <c r="B25" s="2" t="s">
        <v>116</v>
      </c>
      <c r="C25" s="2" t="s">
        <v>117</v>
      </c>
      <c r="D25" s="2" t="s">
        <v>119</v>
      </c>
      <c r="E25" s="4">
        <f t="shared" si="0"/>
        <v>0</v>
      </c>
      <c r="R25" s="1"/>
    </row>
    <row r="26" spans="1:18" x14ac:dyDescent="0.25">
      <c r="A26">
        <v>20103</v>
      </c>
      <c r="B26" s="2" t="s">
        <v>116</v>
      </c>
      <c r="C26" s="2" t="s">
        <v>117</v>
      </c>
      <c r="D26" s="2" t="s">
        <v>120</v>
      </c>
      <c r="E26" s="4">
        <f t="shared" si="0"/>
        <v>0</v>
      </c>
      <c r="R26" s="1"/>
    </row>
    <row r="27" spans="1:18" x14ac:dyDescent="0.25">
      <c r="A27">
        <v>20104</v>
      </c>
      <c r="B27" s="2" t="s">
        <v>116</v>
      </c>
      <c r="C27" s="2" t="s">
        <v>117</v>
      </c>
      <c r="D27" s="2" t="s">
        <v>121</v>
      </c>
      <c r="E27" s="4">
        <f t="shared" si="0"/>
        <v>0</v>
      </c>
      <c r="R27" s="1"/>
    </row>
    <row r="28" spans="1:18" x14ac:dyDescent="0.25">
      <c r="A28">
        <v>20105</v>
      </c>
      <c r="B28" s="2" t="s">
        <v>116</v>
      </c>
      <c r="C28" s="2" t="s">
        <v>117</v>
      </c>
      <c r="D28" s="2" t="s">
        <v>122</v>
      </c>
      <c r="E28" s="4">
        <f t="shared" si="0"/>
        <v>0</v>
      </c>
      <c r="R28" s="1"/>
    </row>
    <row r="29" spans="1:18" x14ac:dyDescent="0.25">
      <c r="A29">
        <v>20201</v>
      </c>
      <c r="B29" s="2" t="s">
        <v>116</v>
      </c>
      <c r="C29" s="2" t="s">
        <v>123</v>
      </c>
      <c r="D29" s="2" t="s">
        <v>124</v>
      </c>
      <c r="E29" s="4">
        <f t="shared" si="0"/>
        <v>0</v>
      </c>
      <c r="R29" s="1"/>
    </row>
    <row r="30" spans="1:18" x14ac:dyDescent="0.25">
      <c r="A30">
        <v>20202</v>
      </c>
      <c r="B30" s="2" t="s">
        <v>116</v>
      </c>
      <c r="C30" s="2" t="s">
        <v>123</v>
      </c>
      <c r="D30" s="2" t="s">
        <v>125</v>
      </c>
      <c r="E30" s="4">
        <f t="shared" si="0"/>
        <v>0</v>
      </c>
      <c r="R30" s="1"/>
    </row>
    <row r="31" spans="1:18" x14ac:dyDescent="0.25">
      <c r="A31">
        <v>20203</v>
      </c>
      <c r="B31" s="2" t="s">
        <v>116</v>
      </c>
      <c r="C31" s="2" t="s">
        <v>123</v>
      </c>
      <c r="D31" s="2" t="s">
        <v>126</v>
      </c>
      <c r="E31" s="4">
        <f t="shared" si="0"/>
        <v>0</v>
      </c>
      <c r="R31" s="1"/>
    </row>
    <row r="32" spans="1:18" x14ac:dyDescent="0.25">
      <c r="A32">
        <v>20204</v>
      </c>
      <c r="B32" s="2" t="s">
        <v>116</v>
      </c>
      <c r="C32" s="2" t="s">
        <v>123</v>
      </c>
      <c r="D32" s="2" t="s">
        <v>127</v>
      </c>
      <c r="E32" s="4">
        <f t="shared" si="0"/>
        <v>0</v>
      </c>
      <c r="R32" s="1"/>
    </row>
    <row r="33" spans="1:18" x14ac:dyDescent="0.25">
      <c r="A33">
        <v>20205</v>
      </c>
      <c r="B33" s="2" t="s">
        <v>116</v>
      </c>
      <c r="C33" s="2" t="s">
        <v>123</v>
      </c>
      <c r="D33" s="2" t="s">
        <v>128</v>
      </c>
      <c r="E33" s="4">
        <f t="shared" si="0"/>
        <v>0</v>
      </c>
      <c r="R33" s="1"/>
    </row>
    <row r="34" spans="1:18" x14ac:dyDescent="0.25">
      <c r="A34">
        <v>20206</v>
      </c>
      <c r="B34" s="2" t="s">
        <v>116</v>
      </c>
      <c r="C34" s="2" t="s">
        <v>123</v>
      </c>
      <c r="D34" s="2" t="s">
        <v>129</v>
      </c>
      <c r="E34" s="4">
        <f t="shared" si="0"/>
        <v>0</v>
      </c>
      <c r="R34" s="1"/>
    </row>
    <row r="35" spans="1:18" x14ac:dyDescent="0.25">
      <c r="A35">
        <v>20207</v>
      </c>
      <c r="B35" s="2" t="s">
        <v>116</v>
      </c>
      <c r="C35" s="2" t="s">
        <v>123</v>
      </c>
      <c r="D35" s="2" t="s">
        <v>130</v>
      </c>
      <c r="E35" s="4">
        <f t="shared" si="0"/>
        <v>0</v>
      </c>
      <c r="R35" s="1"/>
    </row>
    <row r="36" spans="1:18" x14ac:dyDescent="0.25">
      <c r="A36">
        <v>20208</v>
      </c>
      <c r="B36" s="2" t="s">
        <v>116</v>
      </c>
      <c r="C36" s="2" t="s">
        <v>123</v>
      </c>
      <c r="D36" s="2" t="s">
        <v>131</v>
      </c>
      <c r="E36" s="4">
        <f t="shared" si="0"/>
        <v>0</v>
      </c>
      <c r="R36" s="1"/>
    </row>
    <row r="37" spans="1:18" x14ac:dyDescent="0.25">
      <c r="A37">
        <v>20209</v>
      </c>
      <c r="B37" s="2" t="s">
        <v>116</v>
      </c>
      <c r="C37" s="2" t="s">
        <v>123</v>
      </c>
      <c r="D37" s="2" t="s">
        <v>132</v>
      </c>
      <c r="E37" s="4">
        <f t="shared" si="0"/>
        <v>0</v>
      </c>
      <c r="R37" s="1"/>
    </row>
    <row r="38" spans="1:18" x14ac:dyDescent="0.25">
      <c r="A38">
        <v>20210</v>
      </c>
      <c r="B38" s="2" t="s">
        <v>116</v>
      </c>
      <c r="C38" s="2" t="s">
        <v>123</v>
      </c>
      <c r="D38" s="2" t="s">
        <v>133</v>
      </c>
      <c r="E38" s="4">
        <f t="shared" si="0"/>
        <v>0</v>
      </c>
      <c r="R38" s="1"/>
    </row>
    <row r="39" spans="1:18" x14ac:dyDescent="0.25">
      <c r="A39">
        <v>20301</v>
      </c>
      <c r="B39" s="2" t="s">
        <v>116</v>
      </c>
      <c r="C39" s="2" t="s">
        <v>134</v>
      </c>
      <c r="D39" s="2" t="s">
        <v>135</v>
      </c>
      <c r="E39" s="4">
        <f t="shared" si="0"/>
        <v>0</v>
      </c>
      <c r="R39" s="1"/>
    </row>
    <row r="40" spans="1:18" x14ac:dyDescent="0.25">
      <c r="A40">
        <v>20302</v>
      </c>
      <c r="B40" s="2" t="s">
        <v>116</v>
      </c>
      <c r="C40" s="2" t="s">
        <v>134</v>
      </c>
      <c r="D40" s="2" t="s">
        <v>136</v>
      </c>
      <c r="E40" s="4">
        <f t="shared" si="0"/>
        <v>0</v>
      </c>
      <c r="R40" s="1"/>
    </row>
    <row r="41" spans="1:18" x14ac:dyDescent="0.25">
      <c r="A41">
        <v>20303</v>
      </c>
      <c r="B41" s="2" t="s">
        <v>116</v>
      </c>
      <c r="C41" s="2" t="s">
        <v>134</v>
      </c>
      <c r="D41" s="2" t="s">
        <v>137</v>
      </c>
      <c r="E41" s="4">
        <f t="shared" si="0"/>
        <v>0</v>
      </c>
      <c r="R41" s="1"/>
    </row>
    <row r="42" spans="1:18" x14ac:dyDescent="0.25">
      <c r="A42">
        <v>20304</v>
      </c>
      <c r="B42" s="2" t="s">
        <v>116</v>
      </c>
      <c r="C42" s="2" t="s">
        <v>134</v>
      </c>
      <c r="D42" s="2" t="s">
        <v>138</v>
      </c>
      <c r="E42" s="4">
        <f t="shared" si="0"/>
        <v>0</v>
      </c>
      <c r="R42" s="1"/>
    </row>
    <row r="43" spans="1:18" x14ac:dyDescent="0.25">
      <c r="A43">
        <v>20305</v>
      </c>
      <c r="B43" s="2" t="s">
        <v>116</v>
      </c>
      <c r="C43" s="2" t="s">
        <v>134</v>
      </c>
      <c r="D43" s="2" t="s">
        <v>139</v>
      </c>
      <c r="E43" s="4">
        <f t="shared" si="0"/>
        <v>0</v>
      </c>
      <c r="R43" s="1"/>
    </row>
    <row r="44" spans="1:18" x14ac:dyDescent="0.25">
      <c r="A44">
        <v>20306</v>
      </c>
      <c r="B44" s="2" t="s">
        <v>116</v>
      </c>
      <c r="C44" s="2" t="s">
        <v>134</v>
      </c>
      <c r="D44" s="2" t="s">
        <v>140</v>
      </c>
      <c r="E44" s="4">
        <f t="shared" si="0"/>
        <v>0</v>
      </c>
      <c r="R44" s="1"/>
    </row>
    <row r="45" spans="1:18" x14ac:dyDescent="0.25">
      <c r="A45">
        <v>20401</v>
      </c>
      <c r="B45" s="2" t="s">
        <v>116</v>
      </c>
      <c r="C45" s="2" t="s">
        <v>141</v>
      </c>
      <c r="D45" s="2" t="s">
        <v>142</v>
      </c>
      <c r="E45" s="4">
        <f t="shared" si="0"/>
        <v>0</v>
      </c>
      <c r="R45" s="1"/>
    </row>
    <row r="46" spans="1:18" x14ac:dyDescent="0.25">
      <c r="A46">
        <v>20402</v>
      </c>
      <c r="B46" s="2" t="s">
        <v>116</v>
      </c>
      <c r="C46" s="2" t="s">
        <v>141</v>
      </c>
      <c r="D46" s="2" t="s">
        <v>143</v>
      </c>
      <c r="E46" s="4">
        <f t="shared" si="0"/>
        <v>0</v>
      </c>
      <c r="R46" s="1"/>
    </row>
    <row r="47" spans="1:18" x14ac:dyDescent="0.25">
      <c r="A47">
        <v>20403</v>
      </c>
      <c r="B47" s="2" t="s">
        <v>116</v>
      </c>
      <c r="C47" s="2" t="s">
        <v>141</v>
      </c>
      <c r="D47" s="2" t="s">
        <v>144</v>
      </c>
      <c r="E47" s="4">
        <f t="shared" si="0"/>
        <v>0</v>
      </c>
      <c r="R47" s="1"/>
    </row>
    <row r="48" spans="1:18" x14ac:dyDescent="0.25">
      <c r="A48">
        <v>20404</v>
      </c>
      <c r="B48" s="2" t="s">
        <v>116</v>
      </c>
      <c r="C48" s="2" t="s">
        <v>141</v>
      </c>
      <c r="D48" s="2" t="s">
        <v>145</v>
      </c>
      <c r="E48" s="4">
        <f t="shared" si="0"/>
        <v>0</v>
      </c>
      <c r="R48" s="1"/>
    </row>
    <row r="49" spans="1:18" x14ac:dyDescent="0.25">
      <c r="A49">
        <v>20405</v>
      </c>
      <c r="B49" s="2" t="s">
        <v>116</v>
      </c>
      <c r="C49" s="2" t="s">
        <v>141</v>
      </c>
      <c r="D49" s="2" t="s">
        <v>146</v>
      </c>
      <c r="E49" s="4">
        <f t="shared" si="0"/>
        <v>0</v>
      </c>
      <c r="R49" s="1"/>
    </row>
    <row r="50" spans="1:18" x14ac:dyDescent="0.25">
      <c r="A50">
        <v>20406</v>
      </c>
      <c r="B50" s="2" t="s">
        <v>116</v>
      </c>
      <c r="C50" s="2" t="s">
        <v>141</v>
      </c>
      <c r="D50" s="2" t="s">
        <v>147</v>
      </c>
      <c r="E50" s="4">
        <f t="shared" si="0"/>
        <v>0</v>
      </c>
      <c r="R50" s="1"/>
    </row>
    <row r="51" spans="1:18" x14ac:dyDescent="0.25">
      <c r="A51">
        <v>20501</v>
      </c>
      <c r="B51" s="2" t="s">
        <v>116</v>
      </c>
      <c r="C51" s="2" t="s">
        <v>148</v>
      </c>
      <c r="D51" s="2" t="s">
        <v>149</v>
      </c>
      <c r="E51" s="4">
        <f t="shared" si="0"/>
        <v>0</v>
      </c>
      <c r="R51" s="1"/>
    </row>
    <row r="52" spans="1:18" x14ac:dyDescent="0.25">
      <c r="A52">
        <v>20502</v>
      </c>
      <c r="B52" s="2" t="s">
        <v>116</v>
      </c>
      <c r="C52" s="2" t="s">
        <v>148</v>
      </c>
      <c r="D52" s="2" t="s">
        <v>150</v>
      </c>
      <c r="E52" s="4">
        <f t="shared" si="0"/>
        <v>0</v>
      </c>
      <c r="R52" s="1"/>
    </row>
    <row r="53" spans="1:18" x14ac:dyDescent="0.25">
      <c r="A53">
        <v>20503</v>
      </c>
      <c r="B53" s="2" t="s">
        <v>116</v>
      </c>
      <c r="C53" s="2" t="s">
        <v>148</v>
      </c>
      <c r="D53" s="2" t="s">
        <v>151</v>
      </c>
      <c r="E53" s="4">
        <f t="shared" si="0"/>
        <v>0</v>
      </c>
      <c r="R53" s="1"/>
    </row>
    <row r="54" spans="1:18" x14ac:dyDescent="0.25">
      <c r="A54">
        <v>20504</v>
      </c>
      <c r="B54" s="2" t="s">
        <v>116</v>
      </c>
      <c r="C54" s="2" t="s">
        <v>148</v>
      </c>
      <c r="D54" s="2" t="s">
        <v>152</v>
      </c>
      <c r="E54" s="4">
        <f t="shared" si="0"/>
        <v>0</v>
      </c>
      <c r="R54" s="1"/>
    </row>
    <row r="55" spans="1:18" x14ac:dyDescent="0.25">
      <c r="A55">
        <v>20505</v>
      </c>
      <c r="B55" s="2" t="s">
        <v>116</v>
      </c>
      <c r="C55" s="2" t="s">
        <v>148</v>
      </c>
      <c r="D55" s="2" t="s">
        <v>153</v>
      </c>
      <c r="E55" s="4">
        <f t="shared" si="0"/>
        <v>0</v>
      </c>
      <c r="R55" s="1"/>
    </row>
    <row r="56" spans="1:18" x14ac:dyDescent="0.25">
      <c r="A56">
        <v>20601</v>
      </c>
      <c r="B56" s="2" t="s">
        <v>116</v>
      </c>
      <c r="C56" s="2" t="s">
        <v>154</v>
      </c>
      <c r="D56" s="2" t="s">
        <v>155</v>
      </c>
      <c r="E56" s="4">
        <f t="shared" si="0"/>
        <v>0</v>
      </c>
      <c r="R56" s="1"/>
    </row>
    <row r="57" spans="1:18" x14ac:dyDescent="0.25">
      <c r="A57">
        <v>20602</v>
      </c>
      <c r="B57" s="2" t="s">
        <v>116</v>
      </c>
      <c r="C57" s="2" t="s">
        <v>154</v>
      </c>
      <c r="D57" s="2" t="s">
        <v>156</v>
      </c>
      <c r="E57" s="4">
        <f t="shared" si="0"/>
        <v>0</v>
      </c>
      <c r="R57" s="1"/>
    </row>
    <row r="58" spans="1:18" x14ac:dyDescent="0.25">
      <c r="A58">
        <v>20603</v>
      </c>
      <c r="B58" s="2" t="s">
        <v>116</v>
      </c>
      <c r="C58" s="2" t="s">
        <v>154</v>
      </c>
      <c r="D58" s="2" t="s">
        <v>116</v>
      </c>
      <c r="E58" s="4">
        <f t="shared" si="0"/>
        <v>0</v>
      </c>
      <c r="R58" s="1"/>
    </row>
    <row r="59" spans="1:18" x14ac:dyDescent="0.25">
      <c r="A59">
        <v>20604</v>
      </c>
      <c r="B59" s="2" t="s">
        <v>116</v>
      </c>
      <c r="C59" s="2" t="s">
        <v>154</v>
      </c>
      <c r="D59" s="2" t="s">
        <v>157</v>
      </c>
      <c r="E59" s="4">
        <f t="shared" si="0"/>
        <v>0</v>
      </c>
      <c r="R59" s="1"/>
    </row>
    <row r="60" spans="1:18" x14ac:dyDescent="0.25">
      <c r="A60">
        <v>20605</v>
      </c>
      <c r="B60" s="2" t="s">
        <v>116</v>
      </c>
      <c r="C60" s="2" t="s">
        <v>154</v>
      </c>
      <c r="D60" s="2" t="s">
        <v>158</v>
      </c>
      <c r="E60" s="4">
        <f t="shared" si="0"/>
        <v>0</v>
      </c>
      <c r="R60" s="1"/>
    </row>
    <row r="61" spans="1:18" x14ac:dyDescent="0.25">
      <c r="A61">
        <v>20606</v>
      </c>
      <c r="B61" s="2" t="s">
        <v>116</v>
      </c>
      <c r="C61" s="2" t="s">
        <v>154</v>
      </c>
      <c r="D61" s="2" t="s">
        <v>159</v>
      </c>
      <c r="E61" s="4">
        <f t="shared" si="0"/>
        <v>0</v>
      </c>
      <c r="R61" s="1"/>
    </row>
    <row r="62" spans="1:18" x14ac:dyDescent="0.25">
      <c r="A62">
        <v>20607</v>
      </c>
      <c r="B62" s="2" t="s">
        <v>116</v>
      </c>
      <c r="C62" s="2" t="s">
        <v>154</v>
      </c>
      <c r="D62" s="2" t="s">
        <v>160</v>
      </c>
      <c r="E62" s="4">
        <f t="shared" si="0"/>
        <v>0</v>
      </c>
      <c r="R62" s="1"/>
    </row>
    <row r="63" spans="1:18" x14ac:dyDescent="0.25">
      <c r="A63">
        <v>20608</v>
      </c>
      <c r="B63" s="2" t="s">
        <v>116</v>
      </c>
      <c r="C63" s="2" t="s">
        <v>154</v>
      </c>
      <c r="D63" s="2" t="s">
        <v>161</v>
      </c>
      <c r="E63" s="4">
        <f t="shared" si="0"/>
        <v>0</v>
      </c>
      <c r="R63" s="1"/>
    </row>
    <row r="64" spans="1:18" x14ac:dyDescent="0.25">
      <c r="A64">
        <v>20609</v>
      </c>
      <c r="B64" s="2" t="s">
        <v>116</v>
      </c>
      <c r="C64" s="2" t="s">
        <v>154</v>
      </c>
      <c r="D64" s="2" t="s">
        <v>162</v>
      </c>
      <c r="E64" s="4">
        <f t="shared" si="0"/>
        <v>0</v>
      </c>
      <c r="R64" s="1"/>
    </row>
    <row r="65" spans="1:18" x14ac:dyDescent="0.25">
      <c r="A65">
        <v>20610</v>
      </c>
      <c r="B65" s="2" t="s">
        <v>116</v>
      </c>
      <c r="C65" s="2" t="s">
        <v>154</v>
      </c>
      <c r="D65" s="2" t="s">
        <v>163</v>
      </c>
      <c r="E65" s="4">
        <f t="shared" si="0"/>
        <v>0</v>
      </c>
      <c r="R65" s="1"/>
    </row>
    <row r="66" spans="1:18" x14ac:dyDescent="0.25">
      <c r="A66">
        <v>30101</v>
      </c>
      <c r="B66" s="2" t="s">
        <v>164</v>
      </c>
      <c r="C66" s="2" t="s">
        <v>164</v>
      </c>
      <c r="D66" s="2" t="s">
        <v>165</v>
      </c>
      <c r="E66" s="4">
        <f t="shared" si="0"/>
        <v>0</v>
      </c>
      <c r="R66" s="1"/>
    </row>
    <row r="67" spans="1:18" x14ac:dyDescent="0.25">
      <c r="A67">
        <v>30102</v>
      </c>
      <c r="B67" s="2" t="s">
        <v>164</v>
      </c>
      <c r="C67" s="2" t="s">
        <v>164</v>
      </c>
      <c r="D67" s="2" t="s">
        <v>166</v>
      </c>
      <c r="E67" s="4">
        <f t="shared" si="0"/>
        <v>0</v>
      </c>
      <c r="R67" s="1"/>
    </row>
    <row r="68" spans="1:18" x14ac:dyDescent="0.25">
      <c r="A68">
        <v>30103</v>
      </c>
      <c r="B68" s="2" t="s">
        <v>164</v>
      </c>
      <c r="C68" s="2" t="s">
        <v>164</v>
      </c>
      <c r="D68" s="2" t="s">
        <v>167</v>
      </c>
      <c r="E68" s="4">
        <f t="shared" si="0"/>
        <v>0</v>
      </c>
      <c r="R68" s="1"/>
    </row>
    <row r="69" spans="1:18" x14ac:dyDescent="0.25">
      <c r="A69">
        <v>30104</v>
      </c>
      <c r="B69" s="2" t="s">
        <v>164</v>
      </c>
      <c r="C69" s="2" t="s">
        <v>164</v>
      </c>
      <c r="D69" s="2" t="s">
        <v>168</v>
      </c>
      <c r="E69" s="4">
        <f t="shared" ref="E69:E132" si="1">SUM(F69:AEZ69)</f>
        <v>0</v>
      </c>
      <c r="R69" s="1"/>
    </row>
    <row r="70" spans="1:18" x14ac:dyDescent="0.25">
      <c r="A70">
        <v>30105</v>
      </c>
      <c r="B70" s="2" t="s">
        <v>164</v>
      </c>
      <c r="C70" s="2" t="s">
        <v>164</v>
      </c>
      <c r="D70" s="2" t="s">
        <v>169</v>
      </c>
      <c r="E70" s="4">
        <f t="shared" si="1"/>
        <v>0</v>
      </c>
      <c r="R70" s="1"/>
    </row>
    <row r="71" spans="1:18" x14ac:dyDescent="0.25">
      <c r="A71">
        <v>30107</v>
      </c>
      <c r="B71" s="2" t="s">
        <v>164</v>
      </c>
      <c r="C71" s="2" t="s">
        <v>164</v>
      </c>
      <c r="D71" s="2" t="s">
        <v>170</v>
      </c>
      <c r="E71" s="4">
        <f t="shared" si="1"/>
        <v>0</v>
      </c>
      <c r="R71" s="1"/>
    </row>
    <row r="72" spans="1:18" x14ac:dyDescent="0.25">
      <c r="A72">
        <v>30107</v>
      </c>
      <c r="B72" s="2" t="s">
        <v>164</v>
      </c>
      <c r="C72" s="2" t="s">
        <v>164</v>
      </c>
      <c r="D72" s="2" t="s">
        <v>170</v>
      </c>
      <c r="E72" s="4">
        <f t="shared" si="1"/>
        <v>0</v>
      </c>
      <c r="R72" s="1"/>
    </row>
    <row r="73" spans="1:18" x14ac:dyDescent="0.25">
      <c r="A73">
        <v>30108</v>
      </c>
      <c r="B73" s="2" t="s">
        <v>164</v>
      </c>
      <c r="C73" s="2" t="s">
        <v>164</v>
      </c>
      <c r="D73" s="2" t="s">
        <v>171</v>
      </c>
      <c r="E73" s="4">
        <f t="shared" si="1"/>
        <v>0</v>
      </c>
      <c r="R73" s="1"/>
    </row>
    <row r="74" spans="1:18" x14ac:dyDescent="0.25">
      <c r="A74">
        <v>30109</v>
      </c>
      <c r="B74" s="2" t="s">
        <v>164</v>
      </c>
      <c r="C74" s="2" t="s">
        <v>164</v>
      </c>
      <c r="D74" s="2" t="s">
        <v>172</v>
      </c>
      <c r="E74" s="4">
        <f t="shared" si="1"/>
        <v>0</v>
      </c>
      <c r="R74" s="1"/>
    </row>
    <row r="75" spans="1:18" x14ac:dyDescent="0.25">
      <c r="A75">
        <v>30110</v>
      </c>
      <c r="B75" s="2" t="s">
        <v>164</v>
      </c>
      <c r="C75" s="2" t="s">
        <v>164</v>
      </c>
      <c r="D75" s="2" t="s">
        <v>173</v>
      </c>
      <c r="E75" s="4">
        <f t="shared" si="1"/>
        <v>0</v>
      </c>
      <c r="R75" s="1"/>
    </row>
    <row r="76" spans="1:18" x14ac:dyDescent="0.25">
      <c r="A76">
        <v>30111</v>
      </c>
      <c r="B76" s="2" t="s">
        <v>164</v>
      </c>
      <c r="C76" s="2" t="s">
        <v>164</v>
      </c>
      <c r="D76" s="2" t="s">
        <v>174</v>
      </c>
      <c r="E76" s="4">
        <f t="shared" si="1"/>
        <v>0</v>
      </c>
      <c r="R76" s="1"/>
    </row>
    <row r="77" spans="1:18" x14ac:dyDescent="0.25">
      <c r="A77">
        <v>30112</v>
      </c>
      <c r="B77" s="2" t="s">
        <v>164</v>
      </c>
      <c r="C77" s="2" t="s">
        <v>164</v>
      </c>
      <c r="D77" s="2" t="s">
        <v>175</v>
      </c>
      <c r="E77" s="4">
        <f t="shared" si="1"/>
        <v>0</v>
      </c>
      <c r="R77" s="1"/>
    </row>
    <row r="78" spans="1:18" x14ac:dyDescent="0.25">
      <c r="A78">
        <v>30113</v>
      </c>
      <c r="B78" s="2" t="s">
        <v>164</v>
      </c>
      <c r="C78" s="2" t="s">
        <v>164</v>
      </c>
      <c r="D78" s="2" t="s">
        <v>176</v>
      </c>
      <c r="E78" s="4">
        <f t="shared" si="1"/>
        <v>0</v>
      </c>
      <c r="R78" s="1"/>
    </row>
    <row r="79" spans="1:18" x14ac:dyDescent="0.25">
      <c r="A79">
        <v>30114</v>
      </c>
      <c r="B79" s="2" t="s">
        <v>164</v>
      </c>
      <c r="C79" s="2" t="s">
        <v>164</v>
      </c>
      <c r="D79" s="2" t="s">
        <v>177</v>
      </c>
      <c r="E79" s="4">
        <f t="shared" si="1"/>
        <v>0</v>
      </c>
      <c r="R79" s="1"/>
    </row>
    <row r="80" spans="1:18" x14ac:dyDescent="0.25">
      <c r="A80">
        <v>30107</v>
      </c>
      <c r="B80" s="2" t="s">
        <v>164</v>
      </c>
      <c r="C80" s="2" t="s">
        <v>164</v>
      </c>
      <c r="D80" s="2" t="s">
        <v>178</v>
      </c>
      <c r="E80" s="4">
        <f t="shared" si="1"/>
        <v>0</v>
      </c>
      <c r="R80" s="1"/>
    </row>
    <row r="81" spans="1:18" x14ac:dyDescent="0.25">
      <c r="A81">
        <v>30201</v>
      </c>
      <c r="B81" s="2" t="s">
        <v>164</v>
      </c>
      <c r="C81" s="2" t="s">
        <v>179</v>
      </c>
      <c r="D81" s="2" t="s">
        <v>180</v>
      </c>
      <c r="E81" s="4">
        <f t="shared" si="1"/>
        <v>0</v>
      </c>
      <c r="R81" s="1"/>
    </row>
    <row r="82" spans="1:18" x14ac:dyDescent="0.25">
      <c r="A82">
        <v>30202</v>
      </c>
      <c r="B82" s="2" t="s">
        <v>164</v>
      </c>
      <c r="C82" s="2" t="s">
        <v>179</v>
      </c>
      <c r="D82" s="2" t="s">
        <v>181</v>
      </c>
      <c r="E82" s="4">
        <f t="shared" si="1"/>
        <v>0</v>
      </c>
      <c r="R82" s="1"/>
    </row>
    <row r="83" spans="1:18" x14ac:dyDescent="0.25">
      <c r="A83">
        <v>30203</v>
      </c>
      <c r="B83" s="2" t="s">
        <v>164</v>
      </c>
      <c r="C83" s="2" t="s">
        <v>179</v>
      </c>
      <c r="D83" s="2" t="s">
        <v>182</v>
      </c>
      <c r="E83" s="4">
        <f t="shared" si="1"/>
        <v>0</v>
      </c>
      <c r="R83" s="1"/>
    </row>
    <row r="84" spans="1:18" x14ac:dyDescent="0.25">
      <c r="A84">
        <v>30204</v>
      </c>
      <c r="B84" s="2" t="s">
        <v>164</v>
      </c>
      <c r="C84" s="2" t="s">
        <v>179</v>
      </c>
      <c r="D84" s="2" t="s">
        <v>183</v>
      </c>
      <c r="E84" s="4">
        <f t="shared" si="1"/>
        <v>0</v>
      </c>
      <c r="R84" s="1"/>
    </row>
    <row r="85" spans="1:18" x14ac:dyDescent="0.25">
      <c r="A85">
        <v>30205</v>
      </c>
      <c r="B85" s="2" t="s">
        <v>164</v>
      </c>
      <c r="C85" s="2" t="s">
        <v>179</v>
      </c>
      <c r="D85" s="2" t="s">
        <v>184</v>
      </c>
      <c r="E85" s="4">
        <f t="shared" si="1"/>
        <v>0</v>
      </c>
      <c r="R85" s="1"/>
    </row>
    <row r="86" spans="1:18" x14ac:dyDescent="0.25">
      <c r="A86">
        <v>30206</v>
      </c>
      <c r="B86" s="2" t="s">
        <v>164</v>
      </c>
      <c r="C86" s="2" t="s">
        <v>179</v>
      </c>
      <c r="D86" s="2" t="s">
        <v>185</v>
      </c>
      <c r="E86" s="4">
        <f t="shared" si="1"/>
        <v>0</v>
      </c>
      <c r="R86" s="1"/>
    </row>
    <row r="87" spans="1:18" x14ac:dyDescent="0.25">
      <c r="A87">
        <v>30207</v>
      </c>
      <c r="B87" s="2" t="s">
        <v>164</v>
      </c>
      <c r="C87" s="2" t="s">
        <v>179</v>
      </c>
      <c r="D87" s="2" t="s">
        <v>186</v>
      </c>
      <c r="E87" s="4">
        <f t="shared" si="1"/>
        <v>0</v>
      </c>
      <c r="R87" s="1"/>
    </row>
    <row r="88" spans="1:18" ht="24" x14ac:dyDescent="0.25">
      <c r="A88">
        <v>30301</v>
      </c>
      <c r="B88" s="2" t="s">
        <v>164</v>
      </c>
      <c r="C88" s="2" t="s">
        <v>187</v>
      </c>
      <c r="D88" s="2" t="s">
        <v>188</v>
      </c>
      <c r="E88" s="4">
        <f t="shared" si="1"/>
        <v>0</v>
      </c>
      <c r="R88" s="1"/>
    </row>
    <row r="89" spans="1:18" x14ac:dyDescent="0.25">
      <c r="A89">
        <v>30302</v>
      </c>
      <c r="B89" s="2" t="s">
        <v>164</v>
      </c>
      <c r="C89" s="2" t="s">
        <v>187</v>
      </c>
      <c r="D89" s="2" t="s">
        <v>189</v>
      </c>
      <c r="E89" s="4">
        <f t="shared" si="1"/>
        <v>0</v>
      </c>
      <c r="R89" s="1"/>
    </row>
    <row r="90" spans="1:18" x14ac:dyDescent="0.25">
      <c r="A90">
        <v>30303</v>
      </c>
      <c r="B90" s="2" t="s">
        <v>164</v>
      </c>
      <c r="C90" s="2" t="s">
        <v>187</v>
      </c>
      <c r="D90" s="2" t="s">
        <v>190</v>
      </c>
      <c r="E90" s="4">
        <f t="shared" si="1"/>
        <v>0</v>
      </c>
      <c r="R90" s="1"/>
    </row>
    <row r="91" spans="1:18" x14ac:dyDescent="0.25">
      <c r="A91">
        <v>30304</v>
      </c>
      <c r="B91" s="2" t="s">
        <v>164</v>
      </c>
      <c r="C91" s="2" t="s">
        <v>187</v>
      </c>
      <c r="D91" s="2" t="s">
        <v>191</v>
      </c>
      <c r="E91" s="4">
        <f t="shared" si="1"/>
        <v>0</v>
      </c>
      <c r="R91" s="1"/>
    </row>
    <row r="92" spans="1:18" x14ac:dyDescent="0.25">
      <c r="A92">
        <v>30305</v>
      </c>
      <c r="B92" s="2" t="s">
        <v>164</v>
      </c>
      <c r="C92" s="2" t="s">
        <v>187</v>
      </c>
      <c r="D92" s="2" t="s">
        <v>161</v>
      </c>
      <c r="E92" s="4">
        <f t="shared" si="1"/>
        <v>0</v>
      </c>
    </row>
    <row r="93" spans="1:18" x14ac:dyDescent="0.25">
      <c r="A93">
        <v>30401</v>
      </c>
      <c r="B93" s="2" t="s">
        <v>164</v>
      </c>
      <c r="C93" s="2" t="s">
        <v>192</v>
      </c>
      <c r="D93" s="2" t="s">
        <v>193</v>
      </c>
      <c r="E93" s="4">
        <f t="shared" si="1"/>
        <v>0</v>
      </c>
    </row>
    <row r="94" spans="1:18" x14ac:dyDescent="0.25">
      <c r="A94">
        <v>30402</v>
      </c>
      <c r="B94" s="2" t="s">
        <v>164</v>
      </c>
      <c r="C94" s="2" t="s">
        <v>192</v>
      </c>
      <c r="D94" s="2" t="s">
        <v>194</v>
      </c>
      <c r="E94" s="4">
        <f t="shared" si="1"/>
        <v>0</v>
      </c>
    </row>
    <row r="95" spans="1:18" x14ac:dyDescent="0.25">
      <c r="A95">
        <v>30403</v>
      </c>
      <c r="B95" s="2" t="s">
        <v>164</v>
      </c>
      <c r="C95" s="2" t="s">
        <v>192</v>
      </c>
      <c r="D95" s="2" t="s">
        <v>195</v>
      </c>
      <c r="E95" s="4">
        <f t="shared" si="1"/>
        <v>0</v>
      </c>
    </row>
    <row r="96" spans="1:18" x14ac:dyDescent="0.25">
      <c r="A96">
        <v>30404</v>
      </c>
      <c r="B96" s="2" t="s">
        <v>164</v>
      </c>
      <c r="C96" s="2" t="s">
        <v>192</v>
      </c>
      <c r="D96" s="2" t="s">
        <v>196</v>
      </c>
      <c r="E96" s="4">
        <f t="shared" si="1"/>
        <v>0</v>
      </c>
    </row>
    <row r="97" spans="1:5" x14ac:dyDescent="0.25">
      <c r="A97">
        <v>30405</v>
      </c>
      <c r="B97" s="2" t="s">
        <v>164</v>
      </c>
      <c r="C97" s="2" t="s">
        <v>192</v>
      </c>
      <c r="D97" s="2" t="s">
        <v>197</v>
      </c>
      <c r="E97" s="4">
        <f t="shared" si="1"/>
        <v>0</v>
      </c>
    </row>
    <row r="98" spans="1:5" x14ac:dyDescent="0.25">
      <c r="A98">
        <v>30501</v>
      </c>
      <c r="B98" s="2" t="s">
        <v>164</v>
      </c>
      <c r="C98" s="2" t="s">
        <v>198</v>
      </c>
      <c r="D98" s="2" t="s">
        <v>199</v>
      </c>
      <c r="E98" s="4">
        <f t="shared" si="1"/>
        <v>0</v>
      </c>
    </row>
    <row r="99" spans="1:5" x14ac:dyDescent="0.25">
      <c r="A99">
        <v>30502</v>
      </c>
      <c r="B99" s="2" t="s">
        <v>164</v>
      </c>
      <c r="C99" s="2" t="s">
        <v>198</v>
      </c>
      <c r="D99" s="2" t="s">
        <v>200</v>
      </c>
      <c r="E99" s="4">
        <f t="shared" si="1"/>
        <v>0</v>
      </c>
    </row>
    <row r="100" spans="1:5" x14ac:dyDescent="0.25">
      <c r="A100">
        <v>30503</v>
      </c>
      <c r="B100" s="2" t="s">
        <v>164</v>
      </c>
      <c r="C100" s="2" t="s">
        <v>198</v>
      </c>
      <c r="D100" s="2" t="s">
        <v>111</v>
      </c>
      <c r="E100" s="4">
        <f t="shared" si="1"/>
        <v>0</v>
      </c>
    </row>
    <row r="101" spans="1:5" x14ac:dyDescent="0.25">
      <c r="A101">
        <v>30504</v>
      </c>
      <c r="B101" s="2" t="s">
        <v>164</v>
      </c>
      <c r="C101" s="2" t="s">
        <v>198</v>
      </c>
      <c r="D101" s="2" t="s">
        <v>201</v>
      </c>
      <c r="E101" s="4">
        <f t="shared" si="1"/>
        <v>0</v>
      </c>
    </row>
    <row r="102" spans="1:5" x14ac:dyDescent="0.25">
      <c r="A102">
        <v>30505</v>
      </c>
      <c r="B102" s="2" t="s">
        <v>164</v>
      </c>
      <c r="C102" s="2" t="s">
        <v>198</v>
      </c>
      <c r="D102" s="2" t="s">
        <v>202</v>
      </c>
      <c r="E102" s="4">
        <f t="shared" si="1"/>
        <v>0</v>
      </c>
    </row>
    <row r="103" spans="1:5" x14ac:dyDescent="0.25">
      <c r="A103">
        <v>30506</v>
      </c>
      <c r="B103" s="2" t="s">
        <v>164</v>
      </c>
      <c r="C103" s="2" t="s">
        <v>198</v>
      </c>
      <c r="D103" s="2" t="s">
        <v>203</v>
      </c>
      <c r="E103" s="4">
        <f t="shared" si="1"/>
        <v>0</v>
      </c>
    </row>
    <row r="104" spans="1:5" x14ac:dyDescent="0.25">
      <c r="A104">
        <v>30507</v>
      </c>
      <c r="B104" s="2" t="s">
        <v>164</v>
      </c>
      <c r="C104" s="2" t="s">
        <v>198</v>
      </c>
      <c r="D104" s="2" t="s">
        <v>198</v>
      </c>
      <c r="E104" s="4">
        <f t="shared" si="1"/>
        <v>0</v>
      </c>
    </row>
    <row r="105" spans="1:5" x14ac:dyDescent="0.25">
      <c r="A105">
        <v>30508</v>
      </c>
      <c r="B105" s="2" t="s">
        <v>164</v>
      </c>
      <c r="C105" s="2" t="s">
        <v>198</v>
      </c>
      <c r="D105" s="2" t="s">
        <v>204</v>
      </c>
      <c r="E105" s="4">
        <f t="shared" si="1"/>
        <v>0</v>
      </c>
    </row>
    <row r="106" spans="1:5" x14ac:dyDescent="0.25">
      <c r="A106">
        <v>40101</v>
      </c>
      <c r="B106" s="2" t="s">
        <v>205</v>
      </c>
      <c r="C106" s="2" t="s">
        <v>206</v>
      </c>
      <c r="D106" s="2" t="s">
        <v>207</v>
      </c>
      <c r="E106" s="4">
        <f t="shared" si="1"/>
        <v>0</v>
      </c>
    </row>
    <row r="107" spans="1:5" x14ac:dyDescent="0.25">
      <c r="A107">
        <v>40102</v>
      </c>
      <c r="B107" s="2" t="s">
        <v>205</v>
      </c>
      <c r="C107" s="2" t="s">
        <v>206</v>
      </c>
      <c r="D107" s="2" t="s">
        <v>208</v>
      </c>
      <c r="E107" s="4">
        <f t="shared" si="1"/>
        <v>0</v>
      </c>
    </row>
    <row r="108" spans="1:5" x14ac:dyDescent="0.25">
      <c r="A108">
        <v>40103</v>
      </c>
      <c r="B108" s="2" t="s">
        <v>205</v>
      </c>
      <c r="C108" s="2" t="s">
        <v>206</v>
      </c>
      <c r="D108" s="2" t="s">
        <v>209</v>
      </c>
      <c r="E108" s="4">
        <f t="shared" si="1"/>
        <v>0</v>
      </c>
    </row>
    <row r="109" spans="1:5" x14ac:dyDescent="0.25">
      <c r="A109">
        <v>40104</v>
      </c>
      <c r="B109" s="2" t="s">
        <v>205</v>
      </c>
      <c r="C109" s="2" t="s">
        <v>206</v>
      </c>
      <c r="D109" s="2" t="s">
        <v>210</v>
      </c>
      <c r="E109" s="4">
        <f t="shared" si="1"/>
        <v>0</v>
      </c>
    </row>
    <row r="110" spans="1:5" x14ac:dyDescent="0.25">
      <c r="A110">
        <v>40105</v>
      </c>
      <c r="B110" s="2" t="s">
        <v>205</v>
      </c>
      <c r="C110" s="2" t="s">
        <v>206</v>
      </c>
      <c r="D110" s="2" t="s">
        <v>211</v>
      </c>
      <c r="E110" s="4">
        <f t="shared" si="1"/>
        <v>0</v>
      </c>
    </row>
    <row r="111" spans="1:5" x14ac:dyDescent="0.25">
      <c r="A111">
        <v>40106</v>
      </c>
      <c r="B111" s="2" t="s">
        <v>205</v>
      </c>
      <c r="C111" s="2" t="s">
        <v>206</v>
      </c>
      <c r="D111" s="2" t="s">
        <v>212</v>
      </c>
      <c r="E111" s="4">
        <f t="shared" si="1"/>
        <v>0</v>
      </c>
    </row>
    <row r="112" spans="1:5" x14ac:dyDescent="0.25">
      <c r="A112">
        <v>40107</v>
      </c>
      <c r="B112" s="2" t="s">
        <v>205</v>
      </c>
      <c r="C112" s="2" t="s">
        <v>206</v>
      </c>
      <c r="D112" s="2" t="s">
        <v>213</v>
      </c>
      <c r="E112" s="4">
        <f t="shared" si="1"/>
        <v>0</v>
      </c>
    </row>
    <row r="113" spans="1:5" x14ac:dyDescent="0.25">
      <c r="A113">
        <v>40108</v>
      </c>
      <c r="B113" s="2" t="s">
        <v>205</v>
      </c>
      <c r="C113" s="2" t="s">
        <v>206</v>
      </c>
      <c r="D113" s="2" t="s">
        <v>214</v>
      </c>
      <c r="E113" s="4">
        <f t="shared" si="1"/>
        <v>0</v>
      </c>
    </row>
    <row r="114" spans="1:5" x14ac:dyDescent="0.25">
      <c r="A114">
        <v>40109</v>
      </c>
      <c r="B114" s="2" t="s">
        <v>205</v>
      </c>
      <c r="C114" s="2" t="s">
        <v>206</v>
      </c>
      <c r="D114" s="2" t="s">
        <v>215</v>
      </c>
      <c r="E114" s="4">
        <f t="shared" si="1"/>
        <v>0</v>
      </c>
    </row>
    <row r="115" spans="1:5" ht="24" x14ac:dyDescent="0.25">
      <c r="A115">
        <v>40201</v>
      </c>
      <c r="B115" s="2" t="s">
        <v>205</v>
      </c>
      <c r="C115" s="2" t="s">
        <v>216</v>
      </c>
      <c r="D115" s="2" t="s">
        <v>217</v>
      </c>
      <c r="E115" s="4">
        <f t="shared" si="1"/>
        <v>0</v>
      </c>
    </row>
    <row r="116" spans="1:5" x14ac:dyDescent="0.25">
      <c r="A116">
        <v>40202</v>
      </c>
      <c r="B116" s="2" t="s">
        <v>205</v>
      </c>
      <c r="C116" s="2" t="s">
        <v>216</v>
      </c>
      <c r="D116" s="2" t="s">
        <v>218</v>
      </c>
      <c r="E116" s="4">
        <f t="shared" si="1"/>
        <v>0</v>
      </c>
    </row>
    <row r="117" spans="1:5" x14ac:dyDescent="0.25">
      <c r="A117">
        <v>40203</v>
      </c>
      <c r="B117" s="2" t="s">
        <v>205</v>
      </c>
      <c r="C117" s="2" t="s">
        <v>216</v>
      </c>
      <c r="D117" s="2" t="s">
        <v>219</v>
      </c>
      <c r="E117" s="4">
        <f t="shared" si="1"/>
        <v>0</v>
      </c>
    </row>
    <row r="118" spans="1:5" x14ac:dyDescent="0.25">
      <c r="A118">
        <v>40204</v>
      </c>
      <c r="B118" s="2" t="s">
        <v>205</v>
      </c>
      <c r="C118" s="2" t="s">
        <v>216</v>
      </c>
      <c r="D118" s="2" t="s">
        <v>220</v>
      </c>
      <c r="E118" s="4">
        <f t="shared" si="1"/>
        <v>0</v>
      </c>
    </row>
    <row r="119" spans="1:5" x14ac:dyDescent="0.25">
      <c r="A119">
        <v>40205</v>
      </c>
      <c r="B119" s="2" t="s">
        <v>205</v>
      </c>
      <c r="C119" s="2" t="s">
        <v>216</v>
      </c>
      <c r="D119" s="2" t="s">
        <v>221</v>
      </c>
      <c r="E119" s="4">
        <f t="shared" si="1"/>
        <v>0</v>
      </c>
    </row>
    <row r="120" spans="1:5" x14ac:dyDescent="0.25">
      <c r="A120">
        <v>40301</v>
      </c>
      <c r="B120" s="2" t="s">
        <v>205</v>
      </c>
      <c r="C120" s="2" t="s">
        <v>222</v>
      </c>
      <c r="D120" s="2" t="s">
        <v>223</v>
      </c>
      <c r="E120" s="4">
        <f t="shared" si="1"/>
        <v>0</v>
      </c>
    </row>
    <row r="121" spans="1:5" x14ac:dyDescent="0.25">
      <c r="A121">
        <v>40302</v>
      </c>
      <c r="B121" s="2" t="s">
        <v>205</v>
      </c>
      <c r="C121" s="2" t="s">
        <v>222</v>
      </c>
      <c r="D121" s="2" t="s">
        <v>224</v>
      </c>
      <c r="E121" s="4">
        <f t="shared" si="1"/>
        <v>0</v>
      </c>
    </row>
    <row r="122" spans="1:5" x14ac:dyDescent="0.25">
      <c r="A122">
        <v>40303</v>
      </c>
      <c r="B122" s="2" t="s">
        <v>205</v>
      </c>
      <c r="C122" s="2" t="s">
        <v>222</v>
      </c>
      <c r="D122" s="2" t="s">
        <v>225</v>
      </c>
      <c r="E122" s="4">
        <f t="shared" si="1"/>
        <v>0</v>
      </c>
    </row>
    <row r="123" spans="1:5" x14ac:dyDescent="0.25">
      <c r="A123">
        <v>40304</v>
      </c>
      <c r="B123" s="2" t="s">
        <v>205</v>
      </c>
      <c r="C123" s="2" t="s">
        <v>222</v>
      </c>
      <c r="D123" s="2" t="s">
        <v>226</v>
      </c>
      <c r="E123" s="4">
        <f t="shared" si="1"/>
        <v>0</v>
      </c>
    </row>
    <row r="124" spans="1:5" x14ac:dyDescent="0.25">
      <c r="A124">
        <v>40305</v>
      </c>
      <c r="B124" s="2" t="s">
        <v>205</v>
      </c>
      <c r="C124" s="2" t="s">
        <v>222</v>
      </c>
      <c r="D124" s="2" t="s">
        <v>227</v>
      </c>
      <c r="E124" s="4">
        <f t="shared" si="1"/>
        <v>0</v>
      </c>
    </row>
    <row r="125" spans="1:5" x14ac:dyDescent="0.25">
      <c r="A125">
        <v>40306</v>
      </c>
      <c r="B125" s="2" t="s">
        <v>205</v>
      </c>
      <c r="C125" s="2" t="s">
        <v>222</v>
      </c>
      <c r="D125" s="2" t="s">
        <v>228</v>
      </c>
      <c r="E125" s="4">
        <f t="shared" si="1"/>
        <v>0</v>
      </c>
    </row>
    <row r="126" spans="1:5" x14ac:dyDescent="0.25">
      <c r="A126">
        <v>40307</v>
      </c>
      <c r="B126" s="2" t="s">
        <v>205</v>
      </c>
      <c r="C126" s="2" t="s">
        <v>222</v>
      </c>
      <c r="D126" s="2" t="s">
        <v>229</v>
      </c>
      <c r="E126" s="4">
        <f t="shared" si="1"/>
        <v>0</v>
      </c>
    </row>
    <row r="127" spans="1:5" x14ac:dyDescent="0.25">
      <c r="A127">
        <v>40308</v>
      </c>
      <c r="B127" s="2" t="s">
        <v>205</v>
      </c>
      <c r="C127" s="2" t="s">
        <v>222</v>
      </c>
      <c r="D127" s="2" t="s">
        <v>230</v>
      </c>
      <c r="E127" s="4">
        <f t="shared" si="1"/>
        <v>0</v>
      </c>
    </row>
    <row r="128" spans="1:5" x14ac:dyDescent="0.25">
      <c r="A128">
        <v>40401</v>
      </c>
      <c r="B128" s="2" t="s">
        <v>205</v>
      </c>
      <c r="C128" s="2" t="s">
        <v>231</v>
      </c>
      <c r="D128" s="2" t="s">
        <v>232</v>
      </c>
      <c r="E128" s="4">
        <f t="shared" si="1"/>
        <v>0</v>
      </c>
    </row>
    <row r="129" spans="1:5" x14ac:dyDescent="0.25">
      <c r="A129">
        <v>40402</v>
      </c>
      <c r="B129" s="2" t="s">
        <v>205</v>
      </c>
      <c r="C129" s="2" t="s">
        <v>231</v>
      </c>
      <c r="D129" s="2" t="s">
        <v>233</v>
      </c>
      <c r="E129" s="4">
        <f t="shared" si="1"/>
        <v>0</v>
      </c>
    </row>
    <row r="130" spans="1:5" x14ac:dyDescent="0.25">
      <c r="A130">
        <v>40403</v>
      </c>
      <c r="B130" s="2" t="s">
        <v>205</v>
      </c>
      <c r="C130" s="2" t="s">
        <v>231</v>
      </c>
      <c r="D130" s="2" t="s">
        <v>202</v>
      </c>
      <c r="E130" s="4">
        <f t="shared" si="1"/>
        <v>0</v>
      </c>
    </row>
    <row r="131" spans="1:5" x14ac:dyDescent="0.25">
      <c r="A131">
        <v>40404</v>
      </c>
      <c r="B131" s="2" t="s">
        <v>205</v>
      </c>
      <c r="C131" s="2" t="s">
        <v>231</v>
      </c>
      <c r="D131" s="2" t="s">
        <v>234</v>
      </c>
      <c r="E131" s="4">
        <f t="shared" si="1"/>
        <v>0</v>
      </c>
    </row>
    <row r="132" spans="1:5" x14ac:dyDescent="0.25">
      <c r="A132">
        <v>40405</v>
      </c>
      <c r="B132" s="2" t="s">
        <v>205</v>
      </c>
      <c r="C132" s="2" t="s">
        <v>231</v>
      </c>
      <c r="D132" s="2" t="s">
        <v>235</v>
      </c>
      <c r="E132" s="4">
        <f t="shared" si="1"/>
        <v>0</v>
      </c>
    </row>
    <row r="133" spans="1:5" x14ac:dyDescent="0.25">
      <c r="A133">
        <v>40406</v>
      </c>
      <c r="B133" s="2" t="s">
        <v>205</v>
      </c>
      <c r="C133" s="2" t="s">
        <v>231</v>
      </c>
      <c r="D133" s="2" t="s">
        <v>236</v>
      </c>
      <c r="E133" s="4">
        <f t="shared" ref="E133:E196" si="2">SUM(F133:AEZ133)</f>
        <v>0</v>
      </c>
    </row>
    <row r="134" spans="1:5" x14ac:dyDescent="0.25">
      <c r="A134">
        <v>40501</v>
      </c>
      <c r="B134" s="2" t="s">
        <v>205</v>
      </c>
      <c r="C134" s="2" t="s">
        <v>237</v>
      </c>
      <c r="D134" s="2" t="s">
        <v>238</v>
      </c>
      <c r="E134" s="4">
        <f t="shared" si="2"/>
        <v>0</v>
      </c>
    </row>
    <row r="135" spans="1:5" x14ac:dyDescent="0.25">
      <c r="A135">
        <v>40502</v>
      </c>
      <c r="B135" s="2" t="s">
        <v>205</v>
      </c>
      <c r="C135" s="2" t="s">
        <v>237</v>
      </c>
      <c r="D135" s="2" t="s">
        <v>239</v>
      </c>
      <c r="E135" s="4">
        <f t="shared" si="2"/>
        <v>0</v>
      </c>
    </row>
    <row r="136" spans="1:5" x14ac:dyDescent="0.25">
      <c r="A136">
        <v>40503</v>
      </c>
      <c r="B136" s="2" t="s">
        <v>205</v>
      </c>
      <c r="C136" s="2" t="s">
        <v>237</v>
      </c>
      <c r="D136" s="2" t="s">
        <v>237</v>
      </c>
      <c r="E136" s="4">
        <f t="shared" si="2"/>
        <v>0</v>
      </c>
    </row>
    <row r="137" spans="1:5" x14ac:dyDescent="0.25">
      <c r="A137">
        <v>40505</v>
      </c>
      <c r="B137" s="2" t="s">
        <v>205</v>
      </c>
      <c r="C137" s="2" t="s">
        <v>237</v>
      </c>
      <c r="D137" s="2" t="s">
        <v>240</v>
      </c>
      <c r="E137" s="4">
        <f t="shared" si="2"/>
        <v>0</v>
      </c>
    </row>
    <row r="138" spans="1:5" x14ac:dyDescent="0.25">
      <c r="A138">
        <v>40506</v>
      </c>
      <c r="B138" s="2" t="s">
        <v>205</v>
      </c>
      <c r="C138" s="2" t="s">
        <v>237</v>
      </c>
      <c r="D138" s="2" t="s">
        <v>241</v>
      </c>
      <c r="E138" s="4">
        <f t="shared" si="2"/>
        <v>0</v>
      </c>
    </row>
    <row r="139" spans="1:5" x14ac:dyDescent="0.25">
      <c r="A139">
        <v>40507</v>
      </c>
      <c r="B139" s="2" t="s">
        <v>205</v>
      </c>
      <c r="C139" s="2" t="s">
        <v>237</v>
      </c>
      <c r="D139" s="2" t="s">
        <v>242</v>
      </c>
      <c r="E139" s="4">
        <f t="shared" si="2"/>
        <v>0</v>
      </c>
    </row>
    <row r="140" spans="1:5" x14ac:dyDescent="0.25">
      <c r="A140">
        <v>40508</v>
      </c>
      <c r="B140" s="2" t="s">
        <v>205</v>
      </c>
      <c r="C140" s="2" t="s">
        <v>237</v>
      </c>
      <c r="D140" s="2" t="s">
        <v>243</v>
      </c>
      <c r="E140" s="4">
        <f t="shared" si="2"/>
        <v>0</v>
      </c>
    </row>
    <row r="141" spans="1:5" x14ac:dyDescent="0.25">
      <c r="A141">
        <v>40509</v>
      </c>
      <c r="B141" s="2" t="s">
        <v>205</v>
      </c>
      <c r="C141" s="2" t="s">
        <v>237</v>
      </c>
      <c r="D141" s="2" t="s">
        <v>177</v>
      </c>
      <c r="E141" s="4">
        <f t="shared" si="2"/>
        <v>0</v>
      </c>
    </row>
    <row r="142" spans="1:5" x14ac:dyDescent="0.25">
      <c r="A142">
        <v>40510</v>
      </c>
      <c r="B142" s="2" t="s">
        <v>205</v>
      </c>
      <c r="C142" s="2" t="s">
        <v>237</v>
      </c>
      <c r="D142" s="2" t="s">
        <v>244</v>
      </c>
      <c r="E142" s="4">
        <f t="shared" si="2"/>
        <v>0</v>
      </c>
    </row>
    <row r="143" spans="1:5" x14ac:dyDescent="0.25">
      <c r="A143">
        <v>40511</v>
      </c>
      <c r="B143" s="2" t="s">
        <v>205</v>
      </c>
      <c r="C143" s="2" t="s">
        <v>237</v>
      </c>
      <c r="D143" s="2" t="s">
        <v>245</v>
      </c>
      <c r="E143" s="4">
        <f t="shared" si="2"/>
        <v>0</v>
      </c>
    </row>
    <row r="144" spans="1:5" x14ac:dyDescent="0.25">
      <c r="A144">
        <v>40513</v>
      </c>
      <c r="B144" s="2" t="s">
        <v>205</v>
      </c>
      <c r="C144" s="2" t="s">
        <v>237</v>
      </c>
      <c r="D144" s="2" t="s">
        <v>246</v>
      </c>
      <c r="E144" s="4">
        <f t="shared" si="2"/>
        <v>0</v>
      </c>
    </row>
    <row r="145" spans="1:5" x14ac:dyDescent="0.25">
      <c r="A145">
        <v>40601</v>
      </c>
      <c r="B145" s="2" t="s">
        <v>205</v>
      </c>
      <c r="C145" s="2" t="s">
        <v>247</v>
      </c>
      <c r="D145" s="2" t="s">
        <v>248</v>
      </c>
      <c r="E145" s="4">
        <f t="shared" si="2"/>
        <v>0</v>
      </c>
    </row>
    <row r="146" spans="1:5" x14ac:dyDescent="0.25">
      <c r="A146">
        <v>40602</v>
      </c>
      <c r="B146" s="2" t="s">
        <v>205</v>
      </c>
      <c r="C146" s="2" t="s">
        <v>247</v>
      </c>
      <c r="D146" s="2" t="s">
        <v>249</v>
      </c>
      <c r="E146" s="4">
        <f t="shared" si="2"/>
        <v>0</v>
      </c>
    </row>
    <row r="147" spans="1:5" x14ac:dyDescent="0.25">
      <c r="A147">
        <v>40603</v>
      </c>
      <c r="B147" s="2" t="s">
        <v>205</v>
      </c>
      <c r="C147" s="2" t="s">
        <v>247</v>
      </c>
      <c r="D147" s="2" t="s">
        <v>250</v>
      </c>
      <c r="E147" s="4">
        <f t="shared" si="2"/>
        <v>0</v>
      </c>
    </row>
    <row r="148" spans="1:5" x14ac:dyDescent="0.25">
      <c r="A148">
        <v>40604</v>
      </c>
      <c r="B148" s="2" t="s">
        <v>205</v>
      </c>
      <c r="C148" s="2" t="s">
        <v>247</v>
      </c>
      <c r="D148" s="2" t="s">
        <v>205</v>
      </c>
      <c r="E148" s="4">
        <f t="shared" si="2"/>
        <v>0</v>
      </c>
    </row>
    <row r="149" spans="1:5" x14ac:dyDescent="0.25">
      <c r="A149">
        <v>40605</v>
      </c>
      <c r="B149" s="2" t="s">
        <v>205</v>
      </c>
      <c r="C149" s="2" t="s">
        <v>247</v>
      </c>
      <c r="D149" s="2" t="s">
        <v>251</v>
      </c>
      <c r="E149" s="4">
        <f t="shared" si="2"/>
        <v>0</v>
      </c>
    </row>
    <row r="150" spans="1:5" x14ac:dyDescent="0.25">
      <c r="A150">
        <v>40606</v>
      </c>
      <c r="B150" s="2" t="s">
        <v>205</v>
      </c>
      <c r="C150" s="2" t="s">
        <v>247</v>
      </c>
      <c r="D150" s="2" t="s">
        <v>140</v>
      </c>
      <c r="E150" s="4">
        <f t="shared" si="2"/>
        <v>0</v>
      </c>
    </row>
    <row r="151" spans="1:5" x14ac:dyDescent="0.25">
      <c r="A151">
        <v>40607</v>
      </c>
      <c r="B151" s="2" t="s">
        <v>205</v>
      </c>
      <c r="C151" s="2" t="s">
        <v>247</v>
      </c>
      <c r="D151" s="2" t="s">
        <v>229</v>
      </c>
      <c r="E151" s="4">
        <f t="shared" si="2"/>
        <v>0</v>
      </c>
    </row>
    <row r="152" spans="1:5" x14ac:dyDescent="0.25">
      <c r="A152">
        <v>40608</v>
      </c>
      <c r="B152" s="2" t="s">
        <v>205</v>
      </c>
      <c r="C152" s="2" t="s">
        <v>247</v>
      </c>
      <c r="D152" s="2" t="s">
        <v>252</v>
      </c>
      <c r="E152" s="4">
        <f t="shared" si="2"/>
        <v>0</v>
      </c>
    </row>
    <row r="153" spans="1:5" x14ac:dyDescent="0.25">
      <c r="A153">
        <v>40609</v>
      </c>
      <c r="B153" s="2" t="s">
        <v>205</v>
      </c>
      <c r="C153" s="2" t="s">
        <v>247</v>
      </c>
      <c r="D153" s="2" t="s">
        <v>253</v>
      </c>
      <c r="E153" s="4">
        <f t="shared" si="2"/>
        <v>0</v>
      </c>
    </row>
    <row r="154" spans="1:5" x14ac:dyDescent="0.25">
      <c r="A154">
        <v>40610</v>
      </c>
      <c r="B154" s="2" t="s">
        <v>205</v>
      </c>
      <c r="C154" s="2" t="s">
        <v>247</v>
      </c>
      <c r="D154" s="2" t="s">
        <v>254</v>
      </c>
      <c r="E154" s="4">
        <f t="shared" si="2"/>
        <v>0</v>
      </c>
    </row>
    <row r="155" spans="1:5" x14ac:dyDescent="0.25">
      <c r="A155">
        <v>40701</v>
      </c>
      <c r="B155" s="2" t="s">
        <v>205</v>
      </c>
      <c r="C155" s="2" t="s">
        <v>255</v>
      </c>
      <c r="D155" s="2" t="s">
        <v>256</v>
      </c>
      <c r="E155" s="4">
        <f t="shared" si="2"/>
        <v>0</v>
      </c>
    </row>
    <row r="156" spans="1:5" x14ac:dyDescent="0.25">
      <c r="A156">
        <v>40702</v>
      </c>
      <c r="B156" s="2" t="s">
        <v>205</v>
      </c>
      <c r="C156" s="2" t="s">
        <v>255</v>
      </c>
      <c r="D156" s="2" t="s">
        <v>257</v>
      </c>
      <c r="E156" s="4">
        <f t="shared" si="2"/>
        <v>0</v>
      </c>
    </row>
    <row r="157" spans="1:5" x14ac:dyDescent="0.25">
      <c r="A157">
        <v>40703</v>
      </c>
      <c r="B157" s="2" t="s">
        <v>205</v>
      </c>
      <c r="C157" s="2" t="s">
        <v>255</v>
      </c>
      <c r="D157" s="2" t="s">
        <v>258</v>
      </c>
      <c r="E157" s="4">
        <f t="shared" si="2"/>
        <v>0</v>
      </c>
    </row>
    <row r="158" spans="1:5" x14ac:dyDescent="0.25">
      <c r="A158">
        <v>40704</v>
      </c>
      <c r="B158" s="2" t="s">
        <v>205</v>
      </c>
      <c r="C158" s="2" t="s">
        <v>255</v>
      </c>
      <c r="D158" s="2" t="s">
        <v>259</v>
      </c>
      <c r="E158" s="4">
        <f t="shared" si="2"/>
        <v>0</v>
      </c>
    </row>
    <row r="159" spans="1:5" x14ac:dyDescent="0.25">
      <c r="A159">
        <v>40705</v>
      </c>
      <c r="B159" s="2" t="s">
        <v>205</v>
      </c>
      <c r="C159" s="2" t="s">
        <v>255</v>
      </c>
      <c r="D159" s="2" t="s">
        <v>260</v>
      </c>
      <c r="E159" s="4">
        <f t="shared" si="2"/>
        <v>0</v>
      </c>
    </row>
    <row r="160" spans="1:5" x14ac:dyDescent="0.25">
      <c r="A160">
        <v>40706</v>
      </c>
      <c r="B160" s="2" t="s">
        <v>205</v>
      </c>
      <c r="C160" s="2" t="s">
        <v>255</v>
      </c>
      <c r="D160" s="2" t="s">
        <v>261</v>
      </c>
      <c r="E160" s="4">
        <f t="shared" si="2"/>
        <v>0</v>
      </c>
    </row>
    <row r="161" spans="1:5" x14ac:dyDescent="0.25">
      <c r="A161">
        <v>40707</v>
      </c>
      <c r="B161" s="2" t="s">
        <v>205</v>
      </c>
      <c r="C161" s="2" t="s">
        <v>255</v>
      </c>
      <c r="D161" s="2" t="s">
        <v>262</v>
      </c>
      <c r="E161" s="4">
        <f t="shared" si="2"/>
        <v>0</v>
      </c>
    </row>
    <row r="162" spans="1:5" x14ac:dyDescent="0.25">
      <c r="A162">
        <v>40708</v>
      </c>
      <c r="B162" s="2" t="s">
        <v>205</v>
      </c>
      <c r="C162" s="2" t="s">
        <v>255</v>
      </c>
      <c r="D162" s="2" t="s">
        <v>263</v>
      </c>
      <c r="E162" s="4">
        <f t="shared" si="2"/>
        <v>0</v>
      </c>
    </row>
    <row r="163" spans="1:5" x14ac:dyDescent="0.25">
      <c r="A163">
        <v>40801</v>
      </c>
      <c r="B163" s="2" t="s">
        <v>205</v>
      </c>
      <c r="C163" s="2" t="s">
        <v>264</v>
      </c>
      <c r="D163" s="2" t="s">
        <v>264</v>
      </c>
      <c r="E163" s="4">
        <f t="shared" si="2"/>
        <v>0</v>
      </c>
    </row>
    <row r="164" spans="1:5" x14ac:dyDescent="0.25">
      <c r="A164">
        <v>40802</v>
      </c>
      <c r="B164" s="2" t="s">
        <v>205</v>
      </c>
      <c r="C164" s="2" t="s">
        <v>264</v>
      </c>
      <c r="D164" s="2" t="s">
        <v>265</v>
      </c>
      <c r="E164" s="4">
        <f t="shared" si="2"/>
        <v>0</v>
      </c>
    </row>
    <row r="165" spans="1:5" x14ac:dyDescent="0.25">
      <c r="A165">
        <v>40802</v>
      </c>
      <c r="B165" s="2" t="s">
        <v>205</v>
      </c>
      <c r="C165" s="2" t="s">
        <v>264</v>
      </c>
      <c r="D165" s="2" t="s">
        <v>265</v>
      </c>
      <c r="E165" s="4">
        <f t="shared" si="2"/>
        <v>0</v>
      </c>
    </row>
    <row r="166" spans="1:5" x14ac:dyDescent="0.25">
      <c r="A166">
        <v>40803</v>
      </c>
      <c r="B166" s="2" t="s">
        <v>205</v>
      </c>
      <c r="C166" s="2" t="s">
        <v>264</v>
      </c>
      <c r="D166" s="2" t="s">
        <v>266</v>
      </c>
      <c r="E166" s="4">
        <f t="shared" si="2"/>
        <v>0</v>
      </c>
    </row>
    <row r="167" spans="1:5" x14ac:dyDescent="0.25">
      <c r="A167">
        <v>40804</v>
      </c>
      <c r="B167" s="2" t="s">
        <v>205</v>
      </c>
      <c r="C167" s="2" t="s">
        <v>264</v>
      </c>
      <c r="D167" s="2" t="s">
        <v>267</v>
      </c>
      <c r="E167" s="4">
        <f t="shared" si="2"/>
        <v>0</v>
      </c>
    </row>
    <row r="168" spans="1:5" x14ac:dyDescent="0.25">
      <c r="A168">
        <v>40805</v>
      </c>
      <c r="B168" s="2" t="s">
        <v>205</v>
      </c>
      <c r="C168" s="2" t="s">
        <v>264</v>
      </c>
      <c r="D168" s="2" t="s">
        <v>268</v>
      </c>
      <c r="E168" s="4">
        <f t="shared" si="2"/>
        <v>0</v>
      </c>
    </row>
    <row r="169" spans="1:5" x14ac:dyDescent="0.25">
      <c r="A169">
        <v>40901</v>
      </c>
      <c r="B169" s="2" t="s">
        <v>205</v>
      </c>
      <c r="C169" s="2" t="s">
        <v>269</v>
      </c>
      <c r="D169" s="2" t="s">
        <v>270</v>
      </c>
      <c r="E169" s="4">
        <f t="shared" si="2"/>
        <v>0</v>
      </c>
    </row>
    <row r="170" spans="1:5" x14ac:dyDescent="0.25">
      <c r="A170">
        <v>40902</v>
      </c>
      <c r="B170" s="2" t="s">
        <v>205</v>
      </c>
      <c r="C170" s="2" t="s">
        <v>269</v>
      </c>
      <c r="D170" s="2" t="s">
        <v>271</v>
      </c>
      <c r="E170" s="4">
        <f t="shared" si="2"/>
        <v>0</v>
      </c>
    </row>
    <row r="171" spans="1:5" x14ac:dyDescent="0.25">
      <c r="A171">
        <v>40903</v>
      </c>
      <c r="B171" s="2" t="s">
        <v>205</v>
      </c>
      <c r="C171" s="2" t="s">
        <v>269</v>
      </c>
      <c r="D171" s="2" t="s">
        <v>272</v>
      </c>
      <c r="E171" s="4">
        <f t="shared" si="2"/>
        <v>0</v>
      </c>
    </row>
    <row r="172" spans="1:5" x14ac:dyDescent="0.25">
      <c r="A172">
        <v>40904</v>
      </c>
      <c r="B172" s="2" t="s">
        <v>205</v>
      </c>
      <c r="C172" s="2" t="s">
        <v>269</v>
      </c>
      <c r="D172" s="2" t="s">
        <v>273</v>
      </c>
      <c r="E172" s="4">
        <f t="shared" si="2"/>
        <v>0</v>
      </c>
    </row>
    <row r="173" spans="1:5" x14ac:dyDescent="0.25">
      <c r="A173">
        <v>40905</v>
      </c>
      <c r="B173" s="2" t="s">
        <v>205</v>
      </c>
      <c r="C173" s="2" t="s">
        <v>269</v>
      </c>
      <c r="D173" s="2" t="s">
        <v>274</v>
      </c>
      <c r="E173" s="4">
        <f t="shared" si="2"/>
        <v>0</v>
      </c>
    </row>
    <row r="174" spans="1:5" x14ac:dyDescent="0.25">
      <c r="A174">
        <v>41001</v>
      </c>
      <c r="B174" s="2" t="s">
        <v>205</v>
      </c>
      <c r="C174" s="2" t="s">
        <v>275</v>
      </c>
      <c r="D174" s="2" t="s">
        <v>276</v>
      </c>
      <c r="E174" s="4">
        <f t="shared" si="2"/>
        <v>0</v>
      </c>
    </row>
    <row r="175" spans="1:5" x14ac:dyDescent="0.25">
      <c r="A175">
        <v>41002</v>
      </c>
      <c r="B175" s="2" t="s">
        <v>205</v>
      </c>
      <c r="C175" s="2" t="s">
        <v>275</v>
      </c>
      <c r="D175" s="2" t="s">
        <v>277</v>
      </c>
      <c r="E175" s="4">
        <f t="shared" si="2"/>
        <v>0</v>
      </c>
    </row>
    <row r="176" spans="1:5" x14ac:dyDescent="0.25">
      <c r="A176">
        <v>41003</v>
      </c>
      <c r="B176" s="2" t="s">
        <v>205</v>
      </c>
      <c r="C176" s="2" t="s">
        <v>275</v>
      </c>
      <c r="D176" s="2" t="s">
        <v>278</v>
      </c>
      <c r="E176" s="4">
        <f t="shared" si="2"/>
        <v>0</v>
      </c>
    </row>
    <row r="177" spans="1:5" x14ac:dyDescent="0.25">
      <c r="A177">
        <v>41004</v>
      </c>
      <c r="B177" s="2" t="s">
        <v>205</v>
      </c>
      <c r="C177" s="2" t="s">
        <v>275</v>
      </c>
      <c r="D177" s="2" t="s">
        <v>279</v>
      </c>
      <c r="E177" s="4">
        <f t="shared" si="2"/>
        <v>0</v>
      </c>
    </row>
    <row r="178" spans="1:5" x14ac:dyDescent="0.25">
      <c r="A178">
        <v>41005</v>
      </c>
      <c r="B178" s="2" t="s">
        <v>205</v>
      </c>
      <c r="C178" s="2" t="s">
        <v>275</v>
      </c>
      <c r="D178" s="2" t="s">
        <v>280</v>
      </c>
      <c r="E178" s="4">
        <f t="shared" si="2"/>
        <v>0</v>
      </c>
    </row>
    <row r="179" spans="1:5" x14ac:dyDescent="0.25">
      <c r="A179">
        <v>41006</v>
      </c>
      <c r="B179" s="2" t="s">
        <v>205</v>
      </c>
      <c r="C179" s="2" t="s">
        <v>275</v>
      </c>
      <c r="D179" s="2" t="s">
        <v>281</v>
      </c>
      <c r="E179" s="4">
        <f t="shared" si="2"/>
        <v>0</v>
      </c>
    </row>
    <row r="180" spans="1:5" x14ac:dyDescent="0.25">
      <c r="A180">
        <v>41007</v>
      </c>
      <c r="B180" s="2" t="s">
        <v>205</v>
      </c>
      <c r="C180" s="2" t="s">
        <v>275</v>
      </c>
      <c r="D180" s="2" t="s">
        <v>282</v>
      </c>
      <c r="E180" s="4">
        <f t="shared" si="2"/>
        <v>0</v>
      </c>
    </row>
    <row r="181" spans="1:5" x14ac:dyDescent="0.25">
      <c r="A181">
        <v>41008</v>
      </c>
      <c r="B181" s="2" t="s">
        <v>205</v>
      </c>
      <c r="C181" s="2" t="s">
        <v>275</v>
      </c>
      <c r="D181" s="2" t="s">
        <v>283</v>
      </c>
      <c r="E181" s="4">
        <f t="shared" si="2"/>
        <v>0</v>
      </c>
    </row>
    <row r="182" spans="1:5" x14ac:dyDescent="0.25">
      <c r="A182">
        <v>41101</v>
      </c>
      <c r="B182" s="2" t="s">
        <v>205</v>
      </c>
      <c r="C182" s="2" t="s">
        <v>284</v>
      </c>
      <c r="D182" s="2" t="s">
        <v>285</v>
      </c>
      <c r="E182" s="4">
        <f t="shared" si="2"/>
        <v>0</v>
      </c>
    </row>
    <row r="183" spans="1:5" x14ac:dyDescent="0.25">
      <c r="A183">
        <v>41102</v>
      </c>
      <c r="B183" s="2" t="s">
        <v>205</v>
      </c>
      <c r="C183" s="2" t="s">
        <v>284</v>
      </c>
      <c r="D183" s="2" t="s">
        <v>286</v>
      </c>
      <c r="E183" s="4">
        <f t="shared" si="2"/>
        <v>0</v>
      </c>
    </row>
    <row r="184" spans="1:5" x14ac:dyDescent="0.25">
      <c r="A184">
        <v>41103</v>
      </c>
      <c r="B184" s="2" t="s">
        <v>205</v>
      </c>
      <c r="C184" s="2" t="s">
        <v>284</v>
      </c>
      <c r="D184" s="2" t="s">
        <v>287</v>
      </c>
      <c r="E184" s="4">
        <f t="shared" si="2"/>
        <v>0</v>
      </c>
    </row>
    <row r="185" spans="1:5" x14ac:dyDescent="0.25">
      <c r="A185">
        <v>41104</v>
      </c>
      <c r="B185" s="2" t="s">
        <v>205</v>
      </c>
      <c r="C185" s="2" t="s">
        <v>284</v>
      </c>
      <c r="D185" s="2" t="s">
        <v>284</v>
      </c>
      <c r="E185" s="4">
        <f t="shared" si="2"/>
        <v>0</v>
      </c>
    </row>
    <row r="186" spans="1:5" x14ac:dyDescent="0.25">
      <c r="A186">
        <v>41105</v>
      </c>
      <c r="B186" s="2" t="s">
        <v>205</v>
      </c>
      <c r="C186" s="2" t="s">
        <v>284</v>
      </c>
      <c r="D186" s="2" t="s">
        <v>281</v>
      </c>
      <c r="E186" s="4">
        <f t="shared" si="2"/>
        <v>0</v>
      </c>
    </row>
    <row r="187" spans="1:5" x14ac:dyDescent="0.25">
      <c r="A187">
        <v>41201</v>
      </c>
      <c r="B187" s="2" t="s">
        <v>205</v>
      </c>
      <c r="C187" s="2" t="s">
        <v>288</v>
      </c>
      <c r="D187" s="2" t="s">
        <v>289</v>
      </c>
      <c r="E187" s="4">
        <f t="shared" si="2"/>
        <v>0</v>
      </c>
    </row>
    <row r="188" spans="1:5" x14ac:dyDescent="0.25">
      <c r="A188">
        <v>41202</v>
      </c>
      <c r="B188" s="2" t="s">
        <v>205</v>
      </c>
      <c r="C188" s="2" t="s">
        <v>288</v>
      </c>
      <c r="D188" s="2" t="s">
        <v>290</v>
      </c>
      <c r="E188" s="4">
        <f t="shared" si="2"/>
        <v>0</v>
      </c>
    </row>
    <row r="189" spans="1:5" x14ac:dyDescent="0.25">
      <c r="A189">
        <v>41203</v>
      </c>
      <c r="B189" s="2" t="s">
        <v>205</v>
      </c>
      <c r="C189" s="2" t="s">
        <v>288</v>
      </c>
      <c r="D189" s="2" t="s">
        <v>291</v>
      </c>
      <c r="E189" s="4">
        <f t="shared" si="2"/>
        <v>0</v>
      </c>
    </row>
    <row r="190" spans="1:5" x14ac:dyDescent="0.25">
      <c r="A190">
        <v>41204</v>
      </c>
      <c r="B190" s="2" t="s">
        <v>205</v>
      </c>
      <c r="C190" s="2" t="s">
        <v>288</v>
      </c>
      <c r="D190" s="2" t="s">
        <v>176</v>
      </c>
      <c r="E190" s="4">
        <f t="shared" si="2"/>
        <v>0</v>
      </c>
    </row>
    <row r="191" spans="1:5" x14ac:dyDescent="0.25">
      <c r="A191">
        <v>41205</v>
      </c>
      <c r="B191" s="2" t="s">
        <v>205</v>
      </c>
      <c r="C191" s="2" t="s">
        <v>288</v>
      </c>
      <c r="D191" s="2" t="s">
        <v>288</v>
      </c>
      <c r="E191" s="4">
        <f t="shared" si="2"/>
        <v>0</v>
      </c>
    </row>
    <row r="192" spans="1:5" x14ac:dyDescent="0.25">
      <c r="A192">
        <v>41301</v>
      </c>
      <c r="B192" s="2" t="s">
        <v>205</v>
      </c>
      <c r="C192" s="2" t="s">
        <v>292</v>
      </c>
      <c r="D192" s="2" t="s">
        <v>293</v>
      </c>
      <c r="E192" s="4">
        <f t="shared" si="2"/>
        <v>0</v>
      </c>
    </row>
    <row r="193" spans="1:5" x14ac:dyDescent="0.25">
      <c r="A193">
        <v>41302</v>
      </c>
      <c r="B193" s="2" t="s">
        <v>205</v>
      </c>
      <c r="C193" s="2" t="s">
        <v>292</v>
      </c>
      <c r="D193" s="2" t="s">
        <v>294</v>
      </c>
      <c r="E193" s="4">
        <f t="shared" si="2"/>
        <v>0</v>
      </c>
    </row>
    <row r="194" spans="1:5" x14ac:dyDescent="0.25">
      <c r="A194">
        <v>41303</v>
      </c>
      <c r="B194" s="2" t="s">
        <v>205</v>
      </c>
      <c r="C194" s="2" t="s">
        <v>292</v>
      </c>
      <c r="D194" s="2" t="s">
        <v>295</v>
      </c>
      <c r="E194" s="4">
        <f t="shared" si="2"/>
        <v>0</v>
      </c>
    </row>
    <row r="195" spans="1:5" x14ac:dyDescent="0.25">
      <c r="A195">
        <v>41304</v>
      </c>
      <c r="B195" s="2" t="s">
        <v>205</v>
      </c>
      <c r="C195" s="2" t="s">
        <v>292</v>
      </c>
      <c r="D195" s="2" t="s">
        <v>119</v>
      </c>
      <c r="E195" s="4">
        <f t="shared" si="2"/>
        <v>0</v>
      </c>
    </row>
    <row r="196" spans="1:5" x14ac:dyDescent="0.25">
      <c r="A196">
        <v>41305</v>
      </c>
      <c r="B196" s="2" t="s">
        <v>205</v>
      </c>
      <c r="C196" s="2" t="s">
        <v>292</v>
      </c>
      <c r="D196" s="2" t="s">
        <v>296</v>
      </c>
      <c r="E196" s="4">
        <f t="shared" si="2"/>
        <v>0</v>
      </c>
    </row>
    <row r="197" spans="1:5" x14ac:dyDescent="0.25">
      <c r="A197">
        <v>41306</v>
      </c>
      <c r="B197" s="2" t="s">
        <v>205</v>
      </c>
      <c r="C197" s="2" t="s">
        <v>292</v>
      </c>
      <c r="D197" s="2" t="s">
        <v>297</v>
      </c>
      <c r="E197" s="4">
        <f t="shared" ref="E197:E260" si="3">SUM(F197:AEZ197)</f>
        <v>0</v>
      </c>
    </row>
    <row r="198" spans="1:5" x14ac:dyDescent="0.25">
      <c r="A198">
        <v>41307</v>
      </c>
      <c r="B198" s="2" t="s">
        <v>205</v>
      </c>
      <c r="C198" s="2" t="s">
        <v>292</v>
      </c>
      <c r="D198" s="2" t="s">
        <v>298</v>
      </c>
      <c r="E198" s="4">
        <f t="shared" si="3"/>
        <v>0</v>
      </c>
    </row>
    <row r="199" spans="1:5" x14ac:dyDescent="0.25">
      <c r="A199">
        <v>41308</v>
      </c>
      <c r="B199" s="2" t="s">
        <v>205</v>
      </c>
      <c r="C199" s="2" t="s">
        <v>292</v>
      </c>
      <c r="D199" s="2" t="s">
        <v>299</v>
      </c>
      <c r="E199" s="4">
        <f t="shared" si="3"/>
        <v>0</v>
      </c>
    </row>
    <row r="200" spans="1:5" x14ac:dyDescent="0.25">
      <c r="A200">
        <v>41309</v>
      </c>
      <c r="B200" s="2" t="s">
        <v>205</v>
      </c>
      <c r="C200" s="2" t="s">
        <v>292</v>
      </c>
      <c r="D200" s="2" t="s">
        <v>300</v>
      </c>
      <c r="E200" s="4">
        <f t="shared" si="3"/>
        <v>0</v>
      </c>
    </row>
    <row r="201" spans="1:5" x14ac:dyDescent="0.25">
      <c r="A201">
        <v>50101</v>
      </c>
      <c r="B201" s="2" t="s">
        <v>301</v>
      </c>
      <c r="C201" s="2" t="s">
        <v>302</v>
      </c>
      <c r="D201" s="2" t="s">
        <v>303</v>
      </c>
      <c r="E201" s="4">
        <f t="shared" si="3"/>
        <v>0</v>
      </c>
    </row>
    <row r="202" spans="1:5" x14ac:dyDescent="0.25">
      <c r="A202">
        <v>50103</v>
      </c>
      <c r="B202" s="2" t="s">
        <v>301</v>
      </c>
      <c r="C202" s="2" t="s">
        <v>302</v>
      </c>
      <c r="D202" s="2" t="s">
        <v>302</v>
      </c>
      <c r="E202" s="4">
        <f t="shared" si="3"/>
        <v>0</v>
      </c>
    </row>
    <row r="203" spans="1:5" x14ac:dyDescent="0.25">
      <c r="A203">
        <v>50104</v>
      </c>
      <c r="B203" s="2" t="s">
        <v>301</v>
      </c>
      <c r="C203" s="2" t="s">
        <v>302</v>
      </c>
      <c r="D203" s="2" t="s">
        <v>304</v>
      </c>
      <c r="E203" s="4">
        <f t="shared" si="3"/>
        <v>0</v>
      </c>
    </row>
    <row r="204" spans="1:5" x14ac:dyDescent="0.25">
      <c r="A204">
        <v>50105</v>
      </c>
      <c r="B204" s="2" t="s">
        <v>301</v>
      </c>
      <c r="C204" s="2" t="s">
        <v>302</v>
      </c>
      <c r="D204" s="2" t="s">
        <v>305</v>
      </c>
      <c r="E204" s="4">
        <f t="shared" si="3"/>
        <v>0</v>
      </c>
    </row>
    <row r="205" spans="1:5" x14ac:dyDescent="0.25">
      <c r="A205">
        <v>50106</v>
      </c>
      <c r="B205" s="2" t="s">
        <v>301</v>
      </c>
      <c r="C205" s="2" t="s">
        <v>302</v>
      </c>
      <c r="D205" s="2" t="s">
        <v>306</v>
      </c>
      <c r="E205" s="4">
        <f t="shared" si="3"/>
        <v>0</v>
      </c>
    </row>
    <row r="206" spans="1:5" x14ac:dyDescent="0.25">
      <c r="A206">
        <v>50109</v>
      </c>
      <c r="B206" s="2" t="s">
        <v>301</v>
      </c>
      <c r="C206" s="2" t="s">
        <v>302</v>
      </c>
      <c r="D206" s="2" t="s">
        <v>307</v>
      </c>
      <c r="E206" s="4">
        <f t="shared" si="3"/>
        <v>0</v>
      </c>
    </row>
    <row r="207" spans="1:5" x14ac:dyDescent="0.25">
      <c r="A207">
        <v>50110</v>
      </c>
      <c r="B207" s="2" t="s">
        <v>301</v>
      </c>
      <c r="C207" s="2" t="s">
        <v>302</v>
      </c>
      <c r="D207" s="2" t="s">
        <v>308</v>
      </c>
      <c r="E207" s="4">
        <f t="shared" si="3"/>
        <v>0</v>
      </c>
    </row>
    <row r="208" spans="1:5" x14ac:dyDescent="0.25">
      <c r="A208">
        <v>50111</v>
      </c>
      <c r="B208" s="2" t="s">
        <v>301</v>
      </c>
      <c r="C208" s="2" t="s">
        <v>302</v>
      </c>
      <c r="D208" s="2" t="s">
        <v>309</v>
      </c>
      <c r="E208" s="4">
        <f t="shared" si="3"/>
        <v>0</v>
      </c>
    </row>
    <row r="209" spans="1:5" x14ac:dyDescent="0.25">
      <c r="A209">
        <v>50112</v>
      </c>
      <c r="B209" s="2" t="s">
        <v>301</v>
      </c>
      <c r="C209" s="2" t="s">
        <v>302</v>
      </c>
      <c r="D209" s="2" t="s">
        <v>310</v>
      </c>
      <c r="E209" s="4">
        <f t="shared" si="3"/>
        <v>0</v>
      </c>
    </row>
    <row r="210" spans="1:5" x14ac:dyDescent="0.25">
      <c r="A210">
        <v>50102</v>
      </c>
      <c r="B210" s="2" t="s">
        <v>301</v>
      </c>
      <c r="C210" s="2" t="s">
        <v>302</v>
      </c>
      <c r="D210" s="2" t="s">
        <v>311</v>
      </c>
      <c r="E210" s="4">
        <f t="shared" si="3"/>
        <v>0</v>
      </c>
    </row>
    <row r="211" spans="1:5" x14ac:dyDescent="0.25">
      <c r="A211">
        <v>50102</v>
      </c>
      <c r="B211" s="2" t="s">
        <v>301</v>
      </c>
      <c r="C211" s="2" t="s">
        <v>302</v>
      </c>
      <c r="D211" s="2" t="s">
        <v>311</v>
      </c>
      <c r="E211" s="4">
        <f t="shared" si="3"/>
        <v>0</v>
      </c>
    </row>
    <row r="212" spans="1:5" x14ac:dyDescent="0.25">
      <c r="A212">
        <v>50101</v>
      </c>
      <c r="B212" s="2" t="s">
        <v>301</v>
      </c>
      <c r="C212" s="2" t="s">
        <v>302</v>
      </c>
      <c r="D212" s="2" t="s">
        <v>303</v>
      </c>
      <c r="E212" s="4">
        <f t="shared" si="3"/>
        <v>0</v>
      </c>
    </row>
    <row r="213" spans="1:5" x14ac:dyDescent="0.25">
      <c r="A213">
        <v>50110</v>
      </c>
      <c r="B213" s="2" t="s">
        <v>301</v>
      </c>
      <c r="C213" s="2" t="s">
        <v>302</v>
      </c>
      <c r="D213" s="2" t="s">
        <v>308</v>
      </c>
      <c r="E213" s="4">
        <f t="shared" si="3"/>
        <v>0</v>
      </c>
    </row>
    <row r="214" spans="1:5" x14ac:dyDescent="0.25">
      <c r="A214">
        <v>50103</v>
      </c>
      <c r="B214" s="2" t="s">
        <v>301</v>
      </c>
      <c r="C214" s="2" t="s">
        <v>302</v>
      </c>
      <c r="D214" s="2" t="s">
        <v>302</v>
      </c>
      <c r="E214" s="4">
        <f t="shared" si="3"/>
        <v>0</v>
      </c>
    </row>
    <row r="215" spans="1:5" ht="24" x14ac:dyDescent="0.25">
      <c r="A215">
        <v>50201</v>
      </c>
      <c r="B215" s="2" t="s">
        <v>301</v>
      </c>
      <c r="C215" s="2" t="s">
        <v>312</v>
      </c>
      <c r="D215" s="2" t="s">
        <v>313</v>
      </c>
      <c r="E215" s="4">
        <f t="shared" si="3"/>
        <v>0</v>
      </c>
    </row>
    <row r="216" spans="1:5" x14ac:dyDescent="0.25">
      <c r="A216">
        <v>50202</v>
      </c>
      <c r="B216" s="2" t="s">
        <v>301</v>
      </c>
      <c r="C216" s="2" t="s">
        <v>312</v>
      </c>
      <c r="D216" s="2" t="s">
        <v>314</v>
      </c>
      <c r="E216" s="4">
        <f t="shared" si="3"/>
        <v>0</v>
      </c>
    </row>
    <row r="217" spans="1:5" x14ac:dyDescent="0.25">
      <c r="A217">
        <v>50203</v>
      </c>
      <c r="B217" s="2" t="s">
        <v>301</v>
      </c>
      <c r="C217" s="2" t="s">
        <v>312</v>
      </c>
      <c r="D217" s="2" t="s">
        <v>315</v>
      </c>
      <c r="E217" s="4">
        <f t="shared" si="3"/>
        <v>0</v>
      </c>
    </row>
    <row r="218" spans="1:5" x14ac:dyDescent="0.25">
      <c r="A218">
        <v>50204</v>
      </c>
      <c r="B218" s="2" t="s">
        <v>301</v>
      </c>
      <c r="C218" s="2" t="s">
        <v>312</v>
      </c>
      <c r="D218" s="2" t="s">
        <v>312</v>
      </c>
      <c r="E218" s="4">
        <f t="shared" si="3"/>
        <v>0</v>
      </c>
    </row>
    <row r="219" spans="1:5" x14ac:dyDescent="0.25">
      <c r="A219">
        <v>50205</v>
      </c>
      <c r="B219" s="2" t="s">
        <v>301</v>
      </c>
      <c r="C219" s="2" t="s">
        <v>312</v>
      </c>
      <c r="D219" s="2" t="s">
        <v>316</v>
      </c>
      <c r="E219" s="4">
        <f t="shared" si="3"/>
        <v>0</v>
      </c>
    </row>
    <row r="220" spans="1:5" x14ac:dyDescent="0.25">
      <c r="A220">
        <v>50206</v>
      </c>
      <c r="B220" s="2" t="s">
        <v>301</v>
      </c>
      <c r="C220" s="2" t="s">
        <v>312</v>
      </c>
      <c r="D220" s="2" t="s">
        <v>317</v>
      </c>
      <c r="E220" s="4">
        <f t="shared" si="3"/>
        <v>0</v>
      </c>
    </row>
    <row r="221" spans="1:5" x14ac:dyDescent="0.25">
      <c r="A221">
        <v>50207</v>
      </c>
      <c r="B221" s="2" t="s">
        <v>301</v>
      </c>
      <c r="C221" s="2" t="s">
        <v>312</v>
      </c>
      <c r="D221" s="2" t="s">
        <v>318</v>
      </c>
      <c r="E221" s="4">
        <f t="shared" si="3"/>
        <v>0</v>
      </c>
    </row>
    <row r="222" spans="1:5" x14ac:dyDescent="0.25">
      <c r="A222">
        <v>50208</v>
      </c>
      <c r="B222" s="2" t="s">
        <v>301</v>
      </c>
      <c r="C222" s="2" t="s">
        <v>312</v>
      </c>
      <c r="D222" s="2" t="s">
        <v>319</v>
      </c>
      <c r="E222" s="4">
        <f t="shared" si="3"/>
        <v>0</v>
      </c>
    </row>
    <row r="223" spans="1:5" x14ac:dyDescent="0.25">
      <c r="A223">
        <v>50209</v>
      </c>
      <c r="B223" s="2" t="s">
        <v>301</v>
      </c>
      <c r="C223" s="2" t="s">
        <v>312</v>
      </c>
      <c r="D223" s="2" t="s">
        <v>320</v>
      </c>
      <c r="E223" s="4">
        <f t="shared" si="3"/>
        <v>0</v>
      </c>
    </row>
    <row r="224" spans="1:5" x14ac:dyDescent="0.25">
      <c r="A224">
        <v>50207</v>
      </c>
      <c r="B224" s="2" t="s">
        <v>301</v>
      </c>
      <c r="C224" s="2" t="s">
        <v>312</v>
      </c>
      <c r="D224" s="2" t="s">
        <v>318</v>
      </c>
      <c r="E224" s="4">
        <f t="shared" si="3"/>
        <v>0</v>
      </c>
    </row>
    <row r="225" spans="1:5" ht="24" x14ac:dyDescent="0.25">
      <c r="A225">
        <v>50201</v>
      </c>
      <c r="B225" s="2" t="s">
        <v>301</v>
      </c>
      <c r="C225" s="2" t="s">
        <v>312</v>
      </c>
      <c r="D225" s="2" t="s">
        <v>313</v>
      </c>
      <c r="E225" s="4">
        <f t="shared" si="3"/>
        <v>0</v>
      </c>
    </row>
    <row r="226" spans="1:5" x14ac:dyDescent="0.25">
      <c r="A226">
        <v>60101</v>
      </c>
      <c r="B226" s="2" t="s">
        <v>321</v>
      </c>
      <c r="C226" s="2" t="s">
        <v>322</v>
      </c>
      <c r="D226" s="2" t="s">
        <v>323</v>
      </c>
      <c r="E226" s="4">
        <f t="shared" si="3"/>
        <v>0</v>
      </c>
    </row>
    <row r="227" spans="1:5" x14ac:dyDescent="0.25">
      <c r="A227">
        <v>60102</v>
      </c>
      <c r="B227" s="2" t="s">
        <v>321</v>
      </c>
      <c r="C227" s="2" t="s">
        <v>322</v>
      </c>
      <c r="D227" s="2" t="s">
        <v>324</v>
      </c>
      <c r="E227" s="4">
        <f t="shared" si="3"/>
        <v>0</v>
      </c>
    </row>
    <row r="228" spans="1:5" x14ac:dyDescent="0.25">
      <c r="A228">
        <v>60103</v>
      </c>
      <c r="B228" s="2" t="s">
        <v>321</v>
      </c>
      <c r="C228" s="2" t="s">
        <v>322</v>
      </c>
      <c r="D228" s="2" t="s">
        <v>325</v>
      </c>
      <c r="E228" s="4">
        <f t="shared" si="3"/>
        <v>0</v>
      </c>
    </row>
    <row r="229" spans="1:5" x14ac:dyDescent="0.25">
      <c r="A229">
        <v>60104</v>
      </c>
      <c r="B229" s="2" t="s">
        <v>321</v>
      </c>
      <c r="C229" s="2" t="s">
        <v>322</v>
      </c>
      <c r="D229" s="2" t="s">
        <v>326</v>
      </c>
      <c r="E229" s="4">
        <f t="shared" si="3"/>
        <v>0</v>
      </c>
    </row>
    <row r="230" spans="1:5" x14ac:dyDescent="0.25">
      <c r="A230">
        <v>60105</v>
      </c>
      <c r="B230" s="2" t="s">
        <v>321</v>
      </c>
      <c r="C230" s="2" t="s">
        <v>322</v>
      </c>
      <c r="D230" s="2" t="s">
        <v>327</v>
      </c>
      <c r="E230" s="4">
        <f t="shared" si="3"/>
        <v>0</v>
      </c>
    </row>
    <row r="231" spans="1:5" x14ac:dyDescent="0.25">
      <c r="A231">
        <v>60201</v>
      </c>
      <c r="B231" s="2" t="s">
        <v>321</v>
      </c>
      <c r="C231" s="2" t="s">
        <v>328</v>
      </c>
      <c r="D231" s="2" t="s">
        <v>329</v>
      </c>
      <c r="E231" s="4">
        <f t="shared" si="3"/>
        <v>0</v>
      </c>
    </row>
    <row r="232" spans="1:5" x14ac:dyDescent="0.25">
      <c r="A232">
        <v>60202</v>
      </c>
      <c r="B232" s="2" t="s">
        <v>321</v>
      </c>
      <c r="C232" s="2" t="s">
        <v>328</v>
      </c>
      <c r="D232" s="2" t="s">
        <v>330</v>
      </c>
      <c r="E232" s="4">
        <f t="shared" si="3"/>
        <v>0</v>
      </c>
    </row>
    <row r="233" spans="1:5" x14ac:dyDescent="0.25">
      <c r="A233">
        <v>60203</v>
      </c>
      <c r="B233" s="2" t="s">
        <v>321</v>
      </c>
      <c r="C233" s="2" t="s">
        <v>328</v>
      </c>
      <c r="D233" s="2" t="s">
        <v>331</v>
      </c>
      <c r="E233" s="4">
        <f t="shared" si="3"/>
        <v>0</v>
      </c>
    </row>
    <row r="234" spans="1:5" x14ac:dyDescent="0.25">
      <c r="A234">
        <v>60204</v>
      </c>
      <c r="B234" s="2" t="s">
        <v>321</v>
      </c>
      <c r="C234" s="2" t="s">
        <v>328</v>
      </c>
      <c r="D234" s="2" t="s">
        <v>332</v>
      </c>
      <c r="E234" s="4">
        <f t="shared" si="3"/>
        <v>0</v>
      </c>
    </row>
    <row r="235" spans="1:5" x14ac:dyDescent="0.25">
      <c r="A235">
        <v>60205</v>
      </c>
      <c r="B235" s="2" t="s">
        <v>321</v>
      </c>
      <c r="C235" s="2" t="s">
        <v>328</v>
      </c>
      <c r="D235" s="2" t="s">
        <v>333</v>
      </c>
      <c r="E235" s="4">
        <f t="shared" si="3"/>
        <v>0</v>
      </c>
    </row>
    <row r="236" spans="1:5" x14ac:dyDescent="0.25">
      <c r="A236">
        <v>60206</v>
      </c>
      <c r="B236" s="2" t="s">
        <v>321</v>
      </c>
      <c r="C236" s="2" t="s">
        <v>328</v>
      </c>
      <c r="D236" s="2" t="s">
        <v>334</v>
      </c>
      <c r="E236" s="4">
        <f t="shared" si="3"/>
        <v>0</v>
      </c>
    </row>
    <row r="237" spans="1:5" x14ac:dyDescent="0.25">
      <c r="A237">
        <v>60207</v>
      </c>
      <c r="B237" s="2" t="s">
        <v>321</v>
      </c>
      <c r="C237" s="2" t="s">
        <v>328</v>
      </c>
      <c r="D237" s="2" t="s">
        <v>335</v>
      </c>
      <c r="E237" s="4">
        <f t="shared" si="3"/>
        <v>0</v>
      </c>
    </row>
    <row r="238" spans="1:5" x14ac:dyDescent="0.25">
      <c r="A238">
        <v>60301</v>
      </c>
      <c r="B238" s="2" t="s">
        <v>321</v>
      </c>
      <c r="C238" s="2" t="s">
        <v>336</v>
      </c>
      <c r="D238" s="2" t="s">
        <v>337</v>
      </c>
      <c r="E238" s="4">
        <f t="shared" si="3"/>
        <v>0</v>
      </c>
    </row>
    <row r="239" spans="1:5" x14ac:dyDescent="0.25">
      <c r="A239">
        <v>60302</v>
      </c>
      <c r="B239" s="2" t="s">
        <v>321</v>
      </c>
      <c r="C239" s="2" t="s">
        <v>336</v>
      </c>
      <c r="D239" s="2" t="s">
        <v>338</v>
      </c>
      <c r="E239" s="4">
        <f t="shared" si="3"/>
        <v>0</v>
      </c>
    </row>
    <row r="240" spans="1:5" x14ac:dyDescent="0.25">
      <c r="A240">
        <v>60303</v>
      </c>
      <c r="B240" s="2" t="s">
        <v>321</v>
      </c>
      <c r="C240" s="2" t="s">
        <v>336</v>
      </c>
      <c r="D240" s="2" t="s">
        <v>339</v>
      </c>
      <c r="E240" s="4">
        <f t="shared" si="3"/>
        <v>0</v>
      </c>
    </row>
    <row r="241" spans="1:5" x14ac:dyDescent="0.25">
      <c r="A241">
        <v>60304</v>
      </c>
      <c r="B241" s="2" t="s">
        <v>321</v>
      </c>
      <c r="C241" s="2" t="s">
        <v>336</v>
      </c>
      <c r="D241" s="2" t="s">
        <v>340</v>
      </c>
      <c r="E241" s="4">
        <f t="shared" si="3"/>
        <v>0</v>
      </c>
    </row>
    <row r="242" spans="1:5" x14ac:dyDescent="0.25">
      <c r="A242">
        <v>60305</v>
      </c>
      <c r="B242" s="2" t="s">
        <v>321</v>
      </c>
      <c r="C242" s="2" t="s">
        <v>336</v>
      </c>
      <c r="D242" s="2" t="s">
        <v>324</v>
      </c>
      <c r="E242" s="4">
        <f t="shared" si="3"/>
        <v>0</v>
      </c>
    </row>
    <row r="243" spans="1:5" x14ac:dyDescent="0.25">
      <c r="A243">
        <v>60306</v>
      </c>
      <c r="B243" s="2" t="s">
        <v>321</v>
      </c>
      <c r="C243" s="2" t="s">
        <v>336</v>
      </c>
      <c r="D243" s="2" t="s">
        <v>341</v>
      </c>
      <c r="E243" s="4">
        <f t="shared" si="3"/>
        <v>0</v>
      </c>
    </row>
    <row r="244" spans="1:5" x14ac:dyDescent="0.25">
      <c r="A244">
        <v>60307</v>
      </c>
      <c r="B244" s="2" t="s">
        <v>321</v>
      </c>
      <c r="C244" s="2" t="s">
        <v>336</v>
      </c>
      <c r="D244" s="2" t="s">
        <v>342</v>
      </c>
      <c r="E244" s="4">
        <f t="shared" si="3"/>
        <v>0</v>
      </c>
    </row>
    <row r="245" spans="1:5" x14ac:dyDescent="0.25">
      <c r="A245">
        <v>60308</v>
      </c>
      <c r="B245" s="2" t="s">
        <v>321</v>
      </c>
      <c r="C245" s="2" t="s">
        <v>336</v>
      </c>
      <c r="D245" s="2" t="s">
        <v>343</v>
      </c>
      <c r="E245" s="4">
        <f t="shared" si="3"/>
        <v>0</v>
      </c>
    </row>
    <row r="246" spans="1:5" x14ac:dyDescent="0.25">
      <c r="A246">
        <v>60309</v>
      </c>
      <c r="B246" s="2" t="s">
        <v>321</v>
      </c>
      <c r="C246" s="2" t="s">
        <v>336</v>
      </c>
      <c r="D246" s="2" t="s">
        <v>344</v>
      </c>
      <c r="E246" s="4">
        <f t="shared" si="3"/>
        <v>0</v>
      </c>
    </row>
    <row r="247" spans="1:5" x14ac:dyDescent="0.25">
      <c r="A247">
        <v>60401</v>
      </c>
      <c r="B247" s="2" t="s">
        <v>321</v>
      </c>
      <c r="C247" s="2" t="s">
        <v>345</v>
      </c>
      <c r="D247" s="2" t="s">
        <v>346</v>
      </c>
      <c r="E247" s="4">
        <f t="shared" si="3"/>
        <v>0</v>
      </c>
    </row>
    <row r="248" spans="1:5" x14ac:dyDescent="0.25">
      <c r="A248">
        <v>60402</v>
      </c>
      <c r="B248" s="2" t="s">
        <v>321</v>
      </c>
      <c r="C248" s="2" t="s">
        <v>345</v>
      </c>
      <c r="D248" s="2" t="s">
        <v>347</v>
      </c>
      <c r="E248" s="4">
        <f t="shared" si="3"/>
        <v>0</v>
      </c>
    </row>
    <row r="249" spans="1:5" x14ac:dyDescent="0.25">
      <c r="A249">
        <v>60403</v>
      </c>
      <c r="B249" s="2" t="s">
        <v>321</v>
      </c>
      <c r="C249" s="2" t="s">
        <v>345</v>
      </c>
      <c r="D249" s="2" t="s">
        <v>348</v>
      </c>
      <c r="E249" s="4">
        <f t="shared" si="3"/>
        <v>0</v>
      </c>
    </row>
    <row r="250" spans="1:5" x14ac:dyDescent="0.25">
      <c r="A250">
        <v>60404</v>
      </c>
      <c r="B250" s="2" t="s">
        <v>321</v>
      </c>
      <c r="C250" s="2" t="s">
        <v>345</v>
      </c>
      <c r="D250" s="2" t="s">
        <v>138</v>
      </c>
      <c r="E250" s="4">
        <f t="shared" si="3"/>
        <v>0</v>
      </c>
    </row>
    <row r="251" spans="1:5" x14ac:dyDescent="0.25">
      <c r="A251">
        <v>60405</v>
      </c>
      <c r="B251" s="2" t="s">
        <v>321</v>
      </c>
      <c r="C251" s="2" t="s">
        <v>345</v>
      </c>
      <c r="D251" s="2" t="s">
        <v>349</v>
      </c>
      <c r="E251" s="4">
        <f t="shared" si="3"/>
        <v>0</v>
      </c>
    </row>
    <row r="252" spans="1:5" x14ac:dyDescent="0.25">
      <c r="A252">
        <v>60406</v>
      </c>
      <c r="B252" s="2" t="s">
        <v>321</v>
      </c>
      <c r="C252" s="2" t="s">
        <v>345</v>
      </c>
      <c r="D252" s="2" t="s">
        <v>350</v>
      </c>
      <c r="E252" s="4">
        <f t="shared" si="3"/>
        <v>0</v>
      </c>
    </row>
    <row r="253" spans="1:5" x14ac:dyDescent="0.25">
      <c r="A253">
        <v>60407</v>
      </c>
      <c r="B253" s="2" t="s">
        <v>321</v>
      </c>
      <c r="C253" s="2" t="s">
        <v>345</v>
      </c>
      <c r="D253" s="2" t="s">
        <v>351</v>
      </c>
      <c r="E253" s="4">
        <f t="shared" si="3"/>
        <v>0</v>
      </c>
    </row>
    <row r="254" spans="1:5" x14ac:dyDescent="0.25">
      <c r="A254">
        <v>60501</v>
      </c>
      <c r="B254" s="2" t="s">
        <v>321</v>
      </c>
      <c r="C254" s="2" t="s">
        <v>352</v>
      </c>
      <c r="D254" s="2" t="s">
        <v>353</v>
      </c>
      <c r="E254" s="4">
        <f t="shared" si="3"/>
        <v>0</v>
      </c>
    </row>
    <row r="255" spans="1:5" x14ac:dyDescent="0.25">
      <c r="A255">
        <v>60502</v>
      </c>
      <c r="B255" s="2" t="s">
        <v>321</v>
      </c>
      <c r="C255" s="2" t="s">
        <v>352</v>
      </c>
      <c r="D255" s="2" t="s">
        <v>125</v>
      </c>
      <c r="E255" s="4">
        <f t="shared" si="3"/>
        <v>0</v>
      </c>
    </row>
    <row r="256" spans="1:5" x14ac:dyDescent="0.25">
      <c r="A256">
        <v>60503</v>
      </c>
      <c r="B256" s="2" t="s">
        <v>321</v>
      </c>
      <c r="C256" s="2" t="s">
        <v>352</v>
      </c>
      <c r="D256" s="2" t="s">
        <v>354</v>
      </c>
      <c r="E256" s="4">
        <f t="shared" si="3"/>
        <v>0</v>
      </c>
    </row>
    <row r="257" spans="1:5" x14ac:dyDescent="0.25">
      <c r="A257">
        <v>60504</v>
      </c>
      <c r="B257" s="2" t="s">
        <v>321</v>
      </c>
      <c r="C257" s="2" t="s">
        <v>352</v>
      </c>
      <c r="D257" s="2" t="s">
        <v>355</v>
      </c>
      <c r="E257" s="4">
        <f t="shared" si="3"/>
        <v>0</v>
      </c>
    </row>
    <row r="258" spans="1:5" x14ac:dyDescent="0.25">
      <c r="A258">
        <v>60505</v>
      </c>
      <c r="B258" s="2" t="s">
        <v>321</v>
      </c>
      <c r="C258" s="2" t="s">
        <v>352</v>
      </c>
      <c r="D258" s="2" t="s">
        <v>356</v>
      </c>
      <c r="E258" s="4">
        <f t="shared" si="3"/>
        <v>0</v>
      </c>
    </row>
    <row r="259" spans="1:5" x14ac:dyDescent="0.25">
      <c r="A259">
        <v>60506</v>
      </c>
      <c r="B259" s="2" t="s">
        <v>321</v>
      </c>
      <c r="C259" s="2" t="s">
        <v>352</v>
      </c>
      <c r="D259" s="2" t="s">
        <v>357</v>
      </c>
      <c r="E259" s="4">
        <f t="shared" si="3"/>
        <v>0</v>
      </c>
    </row>
    <row r="260" spans="1:5" x14ac:dyDescent="0.25">
      <c r="A260">
        <v>60507</v>
      </c>
      <c r="B260" s="2" t="s">
        <v>321</v>
      </c>
      <c r="C260" s="2" t="s">
        <v>352</v>
      </c>
      <c r="D260" s="2" t="s">
        <v>358</v>
      </c>
      <c r="E260" s="4">
        <f t="shared" si="3"/>
        <v>0</v>
      </c>
    </row>
    <row r="261" spans="1:5" x14ac:dyDescent="0.25">
      <c r="A261">
        <v>60601</v>
      </c>
      <c r="B261" s="2" t="s">
        <v>321</v>
      </c>
      <c r="C261" s="2" t="s">
        <v>359</v>
      </c>
      <c r="D261" s="2" t="s">
        <v>360</v>
      </c>
      <c r="E261" s="4">
        <f t="shared" ref="E261:E324" si="4">SUM(F261:AEZ261)</f>
        <v>0</v>
      </c>
    </row>
    <row r="262" spans="1:5" x14ac:dyDescent="0.25">
      <c r="A262">
        <v>60602</v>
      </c>
      <c r="B262" s="2" t="s">
        <v>321</v>
      </c>
      <c r="C262" s="2" t="s">
        <v>359</v>
      </c>
      <c r="D262" s="2" t="s">
        <v>361</v>
      </c>
      <c r="E262" s="4">
        <f t="shared" si="4"/>
        <v>0</v>
      </c>
    </row>
    <row r="263" spans="1:5" x14ac:dyDescent="0.25">
      <c r="A263">
        <v>60603</v>
      </c>
      <c r="B263" s="2" t="s">
        <v>321</v>
      </c>
      <c r="C263" s="2" t="s">
        <v>359</v>
      </c>
      <c r="D263" s="2" t="s">
        <v>362</v>
      </c>
      <c r="E263" s="4">
        <f t="shared" si="4"/>
        <v>0</v>
      </c>
    </row>
    <row r="264" spans="1:5" x14ac:dyDescent="0.25">
      <c r="A264">
        <v>60604</v>
      </c>
      <c r="B264" s="2" t="s">
        <v>321</v>
      </c>
      <c r="C264" s="2" t="s">
        <v>359</v>
      </c>
      <c r="D264" s="2" t="s">
        <v>363</v>
      </c>
      <c r="E264" s="4">
        <f t="shared" si="4"/>
        <v>0</v>
      </c>
    </row>
    <row r="265" spans="1:5" x14ac:dyDescent="0.25">
      <c r="A265">
        <v>60605</v>
      </c>
      <c r="B265" s="2" t="s">
        <v>321</v>
      </c>
      <c r="C265" s="2" t="s">
        <v>359</v>
      </c>
      <c r="D265" s="2" t="s">
        <v>364</v>
      </c>
      <c r="E265" s="4">
        <f t="shared" si="4"/>
        <v>0</v>
      </c>
    </row>
    <row r="266" spans="1:5" x14ac:dyDescent="0.25">
      <c r="A266">
        <v>60606</v>
      </c>
      <c r="B266" s="2" t="s">
        <v>321</v>
      </c>
      <c r="C266" s="2" t="s">
        <v>359</v>
      </c>
      <c r="D266" s="2" t="s">
        <v>365</v>
      </c>
      <c r="E266" s="4">
        <f t="shared" si="4"/>
        <v>0</v>
      </c>
    </row>
    <row r="267" spans="1:5" x14ac:dyDescent="0.25">
      <c r="A267">
        <v>60607</v>
      </c>
      <c r="B267" s="2" t="s">
        <v>321</v>
      </c>
      <c r="C267" s="2" t="s">
        <v>359</v>
      </c>
      <c r="D267" s="2" t="s">
        <v>366</v>
      </c>
      <c r="E267" s="4">
        <f t="shared" si="4"/>
        <v>0</v>
      </c>
    </row>
    <row r="268" spans="1:5" x14ac:dyDescent="0.25">
      <c r="A268">
        <v>60608</v>
      </c>
      <c r="B268" s="2" t="s">
        <v>321</v>
      </c>
      <c r="C268" s="2" t="s">
        <v>359</v>
      </c>
      <c r="D268" s="2" t="s">
        <v>367</v>
      </c>
      <c r="E268" s="4">
        <f t="shared" si="4"/>
        <v>0</v>
      </c>
    </row>
    <row r="269" spans="1:5" x14ac:dyDescent="0.25">
      <c r="A269">
        <v>60701</v>
      </c>
      <c r="B269" s="2" t="s">
        <v>321</v>
      </c>
      <c r="C269" s="2" t="s">
        <v>368</v>
      </c>
      <c r="D269" s="2" t="s">
        <v>369</v>
      </c>
      <c r="E269" s="4">
        <f t="shared" si="4"/>
        <v>0</v>
      </c>
    </row>
    <row r="270" spans="1:5" x14ac:dyDescent="0.25">
      <c r="A270">
        <v>60702</v>
      </c>
      <c r="B270" s="2" t="s">
        <v>321</v>
      </c>
      <c r="C270" s="2" t="s">
        <v>368</v>
      </c>
      <c r="D270" s="2" t="s">
        <v>370</v>
      </c>
      <c r="E270" s="4">
        <f t="shared" si="4"/>
        <v>0</v>
      </c>
    </row>
    <row r="271" spans="1:5" x14ac:dyDescent="0.25">
      <c r="A271">
        <v>60703</v>
      </c>
      <c r="B271" s="2" t="s">
        <v>321</v>
      </c>
      <c r="C271" s="2" t="s">
        <v>368</v>
      </c>
      <c r="D271" s="2" t="s">
        <v>371</v>
      </c>
      <c r="E271" s="4">
        <f t="shared" si="4"/>
        <v>0</v>
      </c>
    </row>
    <row r="272" spans="1:5" x14ac:dyDescent="0.25">
      <c r="A272">
        <v>60704</v>
      </c>
      <c r="B272" s="2" t="s">
        <v>321</v>
      </c>
      <c r="C272" s="2" t="s">
        <v>368</v>
      </c>
      <c r="D272" s="2" t="s">
        <v>372</v>
      </c>
      <c r="E272" s="4">
        <f t="shared" si="4"/>
        <v>0</v>
      </c>
    </row>
    <row r="273" spans="1:5" x14ac:dyDescent="0.25">
      <c r="A273">
        <v>60705</v>
      </c>
      <c r="B273" s="2" t="s">
        <v>321</v>
      </c>
      <c r="C273" s="2" t="s">
        <v>368</v>
      </c>
      <c r="D273" s="2" t="s">
        <v>373</v>
      </c>
      <c r="E273" s="4">
        <f t="shared" si="4"/>
        <v>0</v>
      </c>
    </row>
    <row r="274" spans="1:5" x14ac:dyDescent="0.25">
      <c r="A274">
        <v>70101</v>
      </c>
      <c r="B274" s="2" t="s">
        <v>374</v>
      </c>
      <c r="C274" s="2" t="s">
        <v>375</v>
      </c>
      <c r="D274" s="2" t="s">
        <v>376</v>
      </c>
      <c r="E274" s="4">
        <f t="shared" si="4"/>
        <v>0</v>
      </c>
    </row>
    <row r="275" spans="1:5" x14ac:dyDescent="0.25">
      <c r="A275">
        <v>70102</v>
      </c>
      <c r="B275" s="2" t="s">
        <v>374</v>
      </c>
      <c r="C275" s="2" t="s">
        <v>375</v>
      </c>
      <c r="D275" s="2" t="s">
        <v>377</v>
      </c>
      <c r="E275" s="4">
        <f t="shared" si="4"/>
        <v>0</v>
      </c>
    </row>
    <row r="276" spans="1:5" x14ac:dyDescent="0.25">
      <c r="A276">
        <v>70103</v>
      </c>
      <c r="B276" s="2" t="s">
        <v>374</v>
      </c>
      <c r="C276" s="2" t="s">
        <v>375</v>
      </c>
      <c r="D276" s="2" t="s">
        <v>378</v>
      </c>
      <c r="E276" s="4">
        <f t="shared" si="4"/>
        <v>0</v>
      </c>
    </row>
    <row r="277" spans="1:5" x14ac:dyDescent="0.25">
      <c r="A277">
        <v>70104</v>
      </c>
      <c r="B277" s="2" t="s">
        <v>374</v>
      </c>
      <c r="C277" s="2" t="s">
        <v>375</v>
      </c>
      <c r="D277" s="2" t="s">
        <v>379</v>
      </c>
      <c r="E277" s="4">
        <f t="shared" si="4"/>
        <v>0</v>
      </c>
    </row>
    <row r="278" spans="1:5" x14ac:dyDescent="0.25">
      <c r="A278">
        <v>70105</v>
      </c>
      <c r="B278" s="2" t="s">
        <v>374</v>
      </c>
      <c r="C278" s="2" t="s">
        <v>375</v>
      </c>
      <c r="D278" s="2" t="s">
        <v>380</v>
      </c>
      <c r="E278" s="4">
        <f t="shared" si="4"/>
        <v>0</v>
      </c>
    </row>
    <row r="279" spans="1:5" x14ac:dyDescent="0.25">
      <c r="A279">
        <v>70106</v>
      </c>
      <c r="B279" s="2" t="s">
        <v>374</v>
      </c>
      <c r="C279" s="2" t="s">
        <v>375</v>
      </c>
      <c r="D279" s="2" t="s">
        <v>381</v>
      </c>
      <c r="E279" s="4">
        <f t="shared" si="4"/>
        <v>0</v>
      </c>
    </row>
    <row r="280" spans="1:5" x14ac:dyDescent="0.25">
      <c r="A280">
        <v>70107</v>
      </c>
      <c r="B280" s="2" t="s">
        <v>374</v>
      </c>
      <c r="C280" s="2" t="s">
        <v>375</v>
      </c>
      <c r="D280" s="2" t="s">
        <v>382</v>
      </c>
      <c r="E280" s="4">
        <f t="shared" si="4"/>
        <v>0</v>
      </c>
    </row>
    <row r="281" spans="1:5" x14ac:dyDescent="0.25">
      <c r="A281">
        <v>70108</v>
      </c>
      <c r="B281" s="2" t="s">
        <v>374</v>
      </c>
      <c r="C281" s="2" t="s">
        <v>375</v>
      </c>
      <c r="D281" s="2" t="s">
        <v>383</v>
      </c>
      <c r="E281" s="4">
        <f t="shared" si="4"/>
        <v>0</v>
      </c>
    </row>
    <row r="282" spans="1:5" x14ac:dyDescent="0.25">
      <c r="A282">
        <v>70109</v>
      </c>
      <c r="B282" s="2" t="s">
        <v>374</v>
      </c>
      <c r="C282" s="2" t="s">
        <v>375</v>
      </c>
      <c r="D282" s="2" t="s">
        <v>384</v>
      </c>
      <c r="E282" s="4">
        <f t="shared" si="4"/>
        <v>0</v>
      </c>
    </row>
    <row r="283" spans="1:5" x14ac:dyDescent="0.25">
      <c r="A283">
        <v>70110</v>
      </c>
      <c r="B283" s="2" t="s">
        <v>374</v>
      </c>
      <c r="C283" s="2" t="s">
        <v>375</v>
      </c>
      <c r="D283" s="2" t="s">
        <v>385</v>
      </c>
      <c r="E283" s="4">
        <f t="shared" si="4"/>
        <v>0</v>
      </c>
    </row>
    <row r="284" spans="1:5" x14ac:dyDescent="0.25">
      <c r="A284">
        <v>70201</v>
      </c>
      <c r="B284" s="2" t="s">
        <v>374</v>
      </c>
      <c r="C284" s="2" t="s">
        <v>105</v>
      </c>
      <c r="D284" s="2" t="s">
        <v>386</v>
      </c>
      <c r="E284" s="4">
        <f t="shared" si="4"/>
        <v>0</v>
      </c>
    </row>
    <row r="285" spans="1:5" x14ac:dyDescent="0.25">
      <c r="A285">
        <v>70202</v>
      </c>
      <c r="B285" s="2" t="s">
        <v>374</v>
      </c>
      <c r="C285" s="2" t="s">
        <v>105</v>
      </c>
      <c r="D285" s="2" t="s">
        <v>387</v>
      </c>
      <c r="E285" s="4">
        <f t="shared" si="4"/>
        <v>0</v>
      </c>
    </row>
    <row r="286" spans="1:5" x14ac:dyDescent="0.25">
      <c r="A286">
        <v>70203</v>
      </c>
      <c r="B286" s="2" t="s">
        <v>374</v>
      </c>
      <c r="C286" s="2" t="s">
        <v>105</v>
      </c>
      <c r="D286" s="2" t="s">
        <v>388</v>
      </c>
      <c r="E286" s="4">
        <f t="shared" si="4"/>
        <v>0</v>
      </c>
    </row>
    <row r="287" spans="1:5" x14ac:dyDescent="0.25">
      <c r="A287">
        <v>70204</v>
      </c>
      <c r="B287" s="2" t="s">
        <v>374</v>
      </c>
      <c r="C287" s="2" t="s">
        <v>105</v>
      </c>
      <c r="D287" s="2" t="s">
        <v>389</v>
      </c>
      <c r="E287" s="4">
        <f t="shared" si="4"/>
        <v>0</v>
      </c>
    </row>
    <row r="288" spans="1:5" x14ac:dyDescent="0.25">
      <c r="A288">
        <v>70205</v>
      </c>
      <c r="B288" s="2" t="s">
        <v>374</v>
      </c>
      <c r="C288" s="2" t="s">
        <v>105</v>
      </c>
      <c r="D288" s="2" t="s">
        <v>390</v>
      </c>
      <c r="E288" s="4">
        <f t="shared" si="4"/>
        <v>0</v>
      </c>
    </row>
    <row r="289" spans="1:5" x14ac:dyDescent="0.25">
      <c r="A289">
        <v>70206</v>
      </c>
      <c r="B289" s="2" t="s">
        <v>374</v>
      </c>
      <c r="C289" s="2" t="s">
        <v>105</v>
      </c>
      <c r="D289" s="2" t="s">
        <v>391</v>
      </c>
      <c r="E289" s="4">
        <f t="shared" si="4"/>
        <v>0</v>
      </c>
    </row>
    <row r="290" spans="1:5" x14ac:dyDescent="0.25">
      <c r="A290">
        <v>70207</v>
      </c>
      <c r="B290" s="2" t="s">
        <v>374</v>
      </c>
      <c r="C290" s="2" t="s">
        <v>105</v>
      </c>
      <c r="D290" s="2" t="s">
        <v>392</v>
      </c>
      <c r="E290" s="4">
        <f t="shared" si="4"/>
        <v>0</v>
      </c>
    </row>
    <row r="291" spans="1:5" x14ac:dyDescent="0.25">
      <c r="A291">
        <v>70208</v>
      </c>
      <c r="B291" s="2" t="s">
        <v>374</v>
      </c>
      <c r="C291" s="2" t="s">
        <v>105</v>
      </c>
      <c r="D291" s="2" t="s">
        <v>364</v>
      </c>
      <c r="E291" s="4">
        <f t="shared" si="4"/>
        <v>0</v>
      </c>
    </row>
    <row r="292" spans="1:5" x14ac:dyDescent="0.25">
      <c r="A292">
        <v>70209</v>
      </c>
      <c r="B292" s="2" t="s">
        <v>374</v>
      </c>
      <c r="C292" s="2" t="s">
        <v>105</v>
      </c>
      <c r="D292" s="2" t="s">
        <v>393</v>
      </c>
      <c r="E292" s="4">
        <f t="shared" si="4"/>
        <v>0</v>
      </c>
    </row>
    <row r="293" spans="1:5" x14ac:dyDescent="0.25">
      <c r="A293">
        <v>70210</v>
      </c>
      <c r="B293" s="2" t="s">
        <v>374</v>
      </c>
      <c r="C293" s="2" t="s">
        <v>105</v>
      </c>
      <c r="D293" s="2" t="s">
        <v>394</v>
      </c>
      <c r="E293" s="4">
        <f t="shared" si="4"/>
        <v>0</v>
      </c>
    </row>
    <row r="294" spans="1:5" x14ac:dyDescent="0.25">
      <c r="A294">
        <v>70211</v>
      </c>
      <c r="B294" s="2" t="s">
        <v>374</v>
      </c>
      <c r="C294" s="2" t="s">
        <v>105</v>
      </c>
      <c r="D294" s="2" t="s">
        <v>395</v>
      </c>
      <c r="E294" s="4">
        <f t="shared" si="4"/>
        <v>0</v>
      </c>
    </row>
    <row r="295" spans="1:5" x14ac:dyDescent="0.25">
      <c r="A295">
        <v>70212</v>
      </c>
      <c r="B295" s="2" t="s">
        <v>374</v>
      </c>
      <c r="C295" s="2" t="s">
        <v>105</v>
      </c>
      <c r="D295" s="2" t="s">
        <v>396</v>
      </c>
      <c r="E295" s="4">
        <f t="shared" si="4"/>
        <v>0</v>
      </c>
    </row>
    <row r="296" spans="1:5" x14ac:dyDescent="0.25">
      <c r="A296">
        <v>70213</v>
      </c>
      <c r="B296" s="2" t="s">
        <v>374</v>
      </c>
      <c r="C296" s="2" t="s">
        <v>105</v>
      </c>
      <c r="D296" s="2" t="s">
        <v>397</v>
      </c>
      <c r="E296" s="4">
        <f t="shared" si="4"/>
        <v>0</v>
      </c>
    </row>
    <row r="297" spans="1:5" x14ac:dyDescent="0.25">
      <c r="A297">
        <v>70214</v>
      </c>
      <c r="B297" s="2" t="s">
        <v>374</v>
      </c>
      <c r="C297" s="2" t="s">
        <v>105</v>
      </c>
      <c r="D297" s="2" t="s">
        <v>398</v>
      </c>
      <c r="E297" s="4">
        <f t="shared" si="4"/>
        <v>0</v>
      </c>
    </row>
    <row r="298" spans="1:5" x14ac:dyDescent="0.25">
      <c r="A298">
        <v>70215</v>
      </c>
      <c r="B298" s="2" t="s">
        <v>374</v>
      </c>
      <c r="C298" s="2" t="s">
        <v>105</v>
      </c>
      <c r="D298" s="2" t="s">
        <v>399</v>
      </c>
      <c r="E298" s="4">
        <f t="shared" si="4"/>
        <v>0</v>
      </c>
    </row>
    <row r="299" spans="1:5" x14ac:dyDescent="0.25">
      <c r="A299">
        <v>70216</v>
      </c>
      <c r="B299" s="2" t="s">
        <v>374</v>
      </c>
      <c r="C299" s="2" t="s">
        <v>105</v>
      </c>
      <c r="D299" s="2" t="s">
        <v>202</v>
      </c>
      <c r="E299" s="4">
        <f t="shared" si="4"/>
        <v>0</v>
      </c>
    </row>
    <row r="300" spans="1:5" x14ac:dyDescent="0.25">
      <c r="A300">
        <v>70217</v>
      </c>
      <c r="B300" s="2" t="s">
        <v>374</v>
      </c>
      <c r="C300" s="2" t="s">
        <v>105</v>
      </c>
      <c r="D300" s="2" t="s">
        <v>400</v>
      </c>
      <c r="E300" s="4">
        <f t="shared" si="4"/>
        <v>0</v>
      </c>
    </row>
    <row r="301" spans="1:5" x14ac:dyDescent="0.25">
      <c r="A301">
        <v>70218</v>
      </c>
      <c r="B301" s="2" t="s">
        <v>374</v>
      </c>
      <c r="C301" s="2" t="s">
        <v>105</v>
      </c>
      <c r="D301" s="2" t="s">
        <v>401</v>
      </c>
      <c r="E301" s="4">
        <f t="shared" si="4"/>
        <v>0</v>
      </c>
    </row>
    <row r="302" spans="1:5" x14ac:dyDescent="0.25">
      <c r="A302">
        <v>70219</v>
      </c>
      <c r="B302" s="2" t="s">
        <v>374</v>
      </c>
      <c r="C302" s="2" t="s">
        <v>105</v>
      </c>
      <c r="D302" s="2" t="s">
        <v>402</v>
      </c>
      <c r="E302" s="4">
        <f t="shared" si="4"/>
        <v>0</v>
      </c>
    </row>
    <row r="303" spans="1:5" x14ac:dyDescent="0.25">
      <c r="A303">
        <v>70220</v>
      </c>
      <c r="B303" s="2" t="s">
        <v>374</v>
      </c>
      <c r="C303" s="2" t="s">
        <v>105</v>
      </c>
      <c r="D303" s="2" t="s">
        <v>403</v>
      </c>
      <c r="E303" s="4">
        <f t="shared" si="4"/>
        <v>0</v>
      </c>
    </row>
    <row r="304" spans="1:5" x14ac:dyDescent="0.25">
      <c r="A304">
        <v>70221</v>
      </c>
      <c r="B304" s="2" t="s">
        <v>374</v>
      </c>
      <c r="C304" s="2" t="s">
        <v>105</v>
      </c>
      <c r="D304" s="2" t="s">
        <v>244</v>
      </c>
      <c r="E304" s="4">
        <f t="shared" si="4"/>
        <v>0</v>
      </c>
    </row>
    <row r="305" spans="1:5" x14ac:dyDescent="0.25">
      <c r="A305">
        <v>70222</v>
      </c>
      <c r="B305" s="2" t="s">
        <v>374</v>
      </c>
      <c r="C305" s="2" t="s">
        <v>105</v>
      </c>
      <c r="D305" s="2" t="s">
        <v>404</v>
      </c>
      <c r="E305" s="4">
        <f t="shared" si="4"/>
        <v>0</v>
      </c>
    </row>
    <row r="306" spans="1:5" x14ac:dyDescent="0.25">
      <c r="A306">
        <v>70223</v>
      </c>
      <c r="B306" s="2" t="s">
        <v>374</v>
      </c>
      <c r="C306" s="2" t="s">
        <v>105</v>
      </c>
      <c r="D306" s="2" t="s">
        <v>405</v>
      </c>
      <c r="E306" s="4">
        <f t="shared" si="4"/>
        <v>0</v>
      </c>
    </row>
    <row r="307" spans="1:5" x14ac:dyDescent="0.25">
      <c r="A307">
        <v>70224</v>
      </c>
      <c r="B307" s="2" t="s">
        <v>374</v>
      </c>
      <c r="C307" s="2" t="s">
        <v>105</v>
      </c>
      <c r="D307" s="2" t="s">
        <v>406</v>
      </c>
      <c r="E307" s="4">
        <f t="shared" si="4"/>
        <v>0</v>
      </c>
    </row>
    <row r="308" spans="1:5" ht="24" x14ac:dyDescent="0.25">
      <c r="A308">
        <v>70301</v>
      </c>
      <c r="B308" s="2" t="s">
        <v>374</v>
      </c>
      <c r="C308" s="2" t="s">
        <v>374</v>
      </c>
      <c r="D308" s="2" t="s">
        <v>407</v>
      </c>
      <c r="E308" s="4">
        <f t="shared" si="4"/>
        <v>0</v>
      </c>
    </row>
    <row r="309" spans="1:5" x14ac:dyDescent="0.25">
      <c r="A309">
        <v>70302</v>
      </c>
      <c r="B309" s="2" t="s">
        <v>374</v>
      </c>
      <c r="C309" s="2" t="s">
        <v>374</v>
      </c>
      <c r="D309" s="2" t="s">
        <v>190</v>
      </c>
      <c r="E309" s="4">
        <f t="shared" si="4"/>
        <v>0</v>
      </c>
    </row>
    <row r="310" spans="1:5" x14ac:dyDescent="0.25">
      <c r="A310">
        <v>70303</v>
      </c>
      <c r="B310" s="2" t="s">
        <v>374</v>
      </c>
      <c r="C310" s="2" t="s">
        <v>374</v>
      </c>
      <c r="D310" s="2" t="s">
        <v>408</v>
      </c>
      <c r="E310" s="4">
        <f t="shared" si="4"/>
        <v>0</v>
      </c>
    </row>
    <row r="311" spans="1:5" x14ac:dyDescent="0.25">
      <c r="A311">
        <v>70304</v>
      </c>
      <c r="B311" s="2" t="s">
        <v>374</v>
      </c>
      <c r="C311" s="2" t="s">
        <v>374</v>
      </c>
      <c r="D311" s="2" t="s">
        <v>409</v>
      </c>
      <c r="E311" s="4">
        <f t="shared" si="4"/>
        <v>0</v>
      </c>
    </row>
    <row r="312" spans="1:5" x14ac:dyDescent="0.25">
      <c r="A312">
        <v>70305</v>
      </c>
      <c r="B312" s="2" t="s">
        <v>374</v>
      </c>
      <c r="C312" s="2" t="s">
        <v>374</v>
      </c>
      <c r="D312" s="2" t="s">
        <v>410</v>
      </c>
      <c r="E312" s="4">
        <f t="shared" si="4"/>
        <v>0</v>
      </c>
    </row>
    <row r="313" spans="1:5" x14ac:dyDescent="0.25">
      <c r="A313">
        <v>70306</v>
      </c>
      <c r="B313" s="2" t="s">
        <v>374</v>
      </c>
      <c r="C313" s="2" t="s">
        <v>374</v>
      </c>
      <c r="D313" s="2" t="s">
        <v>411</v>
      </c>
      <c r="E313" s="4">
        <f t="shared" si="4"/>
        <v>0</v>
      </c>
    </row>
    <row r="314" spans="1:5" x14ac:dyDescent="0.25">
      <c r="A314">
        <v>70307</v>
      </c>
      <c r="B314" s="2" t="s">
        <v>374</v>
      </c>
      <c r="C314" s="2" t="s">
        <v>374</v>
      </c>
      <c r="D314" s="2" t="s">
        <v>266</v>
      </c>
      <c r="E314" s="4">
        <f t="shared" si="4"/>
        <v>0</v>
      </c>
    </row>
    <row r="315" spans="1:5" x14ac:dyDescent="0.25">
      <c r="A315">
        <v>70308</v>
      </c>
      <c r="B315" s="2" t="s">
        <v>374</v>
      </c>
      <c r="C315" s="2" t="s">
        <v>374</v>
      </c>
      <c r="D315" s="2" t="s">
        <v>412</v>
      </c>
      <c r="E315" s="4">
        <f t="shared" si="4"/>
        <v>0</v>
      </c>
    </row>
    <row r="316" spans="1:5" x14ac:dyDescent="0.25">
      <c r="A316">
        <v>70309</v>
      </c>
      <c r="B316" s="2" t="s">
        <v>374</v>
      </c>
      <c r="C316" s="2" t="s">
        <v>374</v>
      </c>
      <c r="D316" s="2" t="s">
        <v>413</v>
      </c>
      <c r="E316" s="4">
        <f t="shared" si="4"/>
        <v>0</v>
      </c>
    </row>
    <row r="317" spans="1:5" x14ac:dyDescent="0.25">
      <c r="A317">
        <v>70310</v>
      </c>
      <c r="B317" s="2" t="s">
        <v>374</v>
      </c>
      <c r="C317" s="2" t="s">
        <v>374</v>
      </c>
      <c r="D317" s="2" t="s">
        <v>366</v>
      </c>
      <c r="E317" s="4">
        <f t="shared" si="4"/>
        <v>0</v>
      </c>
    </row>
    <row r="318" spans="1:5" x14ac:dyDescent="0.25">
      <c r="A318">
        <v>70311</v>
      </c>
      <c r="B318" s="2" t="s">
        <v>374</v>
      </c>
      <c r="C318" s="2" t="s">
        <v>374</v>
      </c>
      <c r="D318" s="2" t="s">
        <v>414</v>
      </c>
      <c r="E318" s="4">
        <f t="shared" si="4"/>
        <v>0</v>
      </c>
    </row>
    <row r="319" spans="1:5" x14ac:dyDescent="0.25">
      <c r="A319">
        <v>70312</v>
      </c>
      <c r="B319" s="2" t="s">
        <v>374</v>
      </c>
      <c r="C319" s="2" t="s">
        <v>374</v>
      </c>
      <c r="D319" s="2" t="s">
        <v>415</v>
      </c>
      <c r="E319" s="4">
        <f t="shared" si="4"/>
        <v>0</v>
      </c>
    </row>
    <row r="320" spans="1:5" x14ac:dyDescent="0.25">
      <c r="A320">
        <v>70313</v>
      </c>
      <c r="B320" s="2" t="s">
        <v>374</v>
      </c>
      <c r="C320" s="2" t="s">
        <v>374</v>
      </c>
      <c r="D320" s="2" t="s">
        <v>416</v>
      </c>
      <c r="E320" s="4">
        <f t="shared" si="4"/>
        <v>0</v>
      </c>
    </row>
    <row r="321" spans="1:5" x14ac:dyDescent="0.25">
      <c r="A321">
        <v>70314</v>
      </c>
      <c r="B321" s="2" t="s">
        <v>374</v>
      </c>
      <c r="C321" s="2" t="s">
        <v>374</v>
      </c>
      <c r="D321" s="2" t="s">
        <v>417</v>
      </c>
      <c r="E321" s="4">
        <f t="shared" si="4"/>
        <v>0</v>
      </c>
    </row>
    <row r="322" spans="1:5" x14ac:dyDescent="0.25">
      <c r="A322">
        <v>70401</v>
      </c>
      <c r="B322" s="2" t="s">
        <v>374</v>
      </c>
      <c r="C322" s="2" t="s">
        <v>418</v>
      </c>
      <c r="D322" s="2" t="s">
        <v>419</v>
      </c>
      <c r="E322" s="4">
        <f t="shared" si="4"/>
        <v>0</v>
      </c>
    </row>
    <row r="323" spans="1:5" x14ac:dyDescent="0.25">
      <c r="A323">
        <v>70402</v>
      </c>
      <c r="B323" s="2" t="s">
        <v>374</v>
      </c>
      <c r="C323" s="2" t="s">
        <v>418</v>
      </c>
      <c r="D323" s="2" t="s">
        <v>420</v>
      </c>
      <c r="E323" s="4">
        <f t="shared" si="4"/>
        <v>0</v>
      </c>
    </row>
    <row r="324" spans="1:5" x14ac:dyDescent="0.25">
      <c r="A324">
        <v>70403</v>
      </c>
      <c r="B324" s="2" t="s">
        <v>374</v>
      </c>
      <c r="C324" s="2" t="s">
        <v>418</v>
      </c>
      <c r="D324" s="2" t="s">
        <v>421</v>
      </c>
      <c r="E324" s="4">
        <f t="shared" si="4"/>
        <v>0</v>
      </c>
    </row>
    <row r="325" spans="1:5" x14ac:dyDescent="0.25">
      <c r="A325">
        <v>70404</v>
      </c>
      <c r="B325" s="2" t="s">
        <v>374</v>
      </c>
      <c r="C325" s="2" t="s">
        <v>418</v>
      </c>
      <c r="D325" s="2" t="s">
        <v>422</v>
      </c>
      <c r="E325" s="4">
        <f t="shared" ref="E325:E388" si="5">SUM(F325:AEZ325)</f>
        <v>0</v>
      </c>
    </row>
    <row r="326" spans="1:5" x14ac:dyDescent="0.25">
      <c r="A326">
        <v>70405</v>
      </c>
      <c r="B326" s="2" t="s">
        <v>374</v>
      </c>
      <c r="C326" s="2" t="s">
        <v>418</v>
      </c>
      <c r="D326" s="2" t="s">
        <v>423</v>
      </c>
      <c r="E326" s="4">
        <f t="shared" si="5"/>
        <v>0</v>
      </c>
    </row>
    <row r="327" spans="1:5" x14ac:dyDescent="0.25">
      <c r="A327">
        <v>70406</v>
      </c>
      <c r="B327" s="2" t="s">
        <v>374</v>
      </c>
      <c r="C327" s="2" t="s">
        <v>418</v>
      </c>
      <c r="D327" s="2" t="s">
        <v>340</v>
      </c>
      <c r="E327" s="4">
        <f t="shared" si="5"/>
        <v>0</v>
      </c>
    </row>
    <row r="328" spans="1:5" x14ac:dyDescent="0.25">
      <c r="A328">
        <v>70407</v>
      </c>
      <c r="B328" s="2" t="s">
        <v>374</v>
      </c>
      <c r="C328" s="2" t="s">
        <v>418</v>
      </c>
      <c r="D328" s="2" t="s">
        <v>424</v>
      </c>
      <c r="E328" s="4">
        <f t="shared" si="5"/>
        <v>0</v>
      </c>
    </row>
    <row r="329" spans="1:5" x14ac:dyDescent="0.25">
      <c r="A329">
        <v>70408</v>
      </c>
      <c r="B329" s="2" t="s">
        <v>374</v>
      </c>
      <c r="C329" s="2" t="s">
        <v>418</v>
      </c>
      <c r="D329" s="2" t="s">
        <v>425</v>
      </c>
      <c r="E329" s="4">
        <f t="shared" si="5"/>
        <v>0</v>
      </c>
    </row>
    <row r="330" spans="1:5" x14ac:dyDescent="0.25">
      <c r="A330">
        <v>70409</v>
      </c>
      <c r="B330" s="2" t="s">
        <v>374</v>
      </c>
      <c r="C330" s="2" t="s">
        <v>418</v>
      </c>
      <c r="D330" s="2" t="s">
        <v>426</v>
      </c>
      <c r="E330" s="4">
        <f t="shared" si="5"/>
        <v>0</v>
      </c>
    </row>
    <row r="331" spans="1:5" x14ac:dyDescent="0.25">
      <c r="A331">
        <v>70410</v>
      </c>
      <c r="B331" s="2" t="s">
        <v>374</v>
      </c>
      <c r="C331" s="2" t="s">
        <v>418</v>
      </c>
      <c r="D331" s="2" t="s">
        <v>427</v>
      </c>
      <c r="E331" s="4">
        <f t="shared" si="5"/>
        <v>0</v>
      </c>
    </row>
    <row r="332" spans="1:5" x14ac:dyDescent="0.25">
      <c r="A332">
        <v>70411</v>
      </c>
      <c r="B332" s="2" t="s">
        <v>374</v>
      </c>
      <c r="C332" s="2" t="s">
        <v>418</v>
      </c>
      <c r="D332" s="2" t="s">
        <v>428</v>
      </c>
      <c r="E332" s="4">
        <f t="shared" si="5"/>
        <v>0</v>
      </c>
    </row>
    <row r="333" spans="1:5" x14ac:dyDescent="0.25">
      <c r="A333">
        <v>70501</v>
      </c>
      <c r="B333" s="2" t="s">
        <v>374</v>
      </c>
      <c r="C333" s="2" t="s">
        <v>429</v>
      </c>
      <c r="D333" s="2" t="s">
        <v>430</v>
      </c>
      <c r="E333" s="4">
        <f t="shared" si="5"/>
        <v>0</v>
      </c>
    </row>
    <row r="334" spans="1:5" x14ac:dyDescent="0.25">
      <c r="A334">
        <v>70502</v>
      </c>
      <c r="B334" s="2" t="s">
        <v>374</v>
      </c>
      <c r="C334" s="2" t="s">
        <v>429</v>
      </c>
      <c r="D334" s="2" t="s">
        <v>431</v>
      </c>
      <c r="E334" s="4">
        <f t="shared" si="5"/>
        <v>0</v>
      </c>
    </row>
    <row r="335" spans="1:5" x14ac:dyDescent="0.25">
      <c r="A335">
        <v>70503</v>
      </c>
      <c r="B335" s="2" t="s">
        <v>374</v>
      </c>
      <c r="C335" s="2" t="s">
        <v>429</v>
      </c>
      <c r="D335" s="2" t="s">
        <v>432</v>
      </c>
      <c r="E335" s="4">
        <f t="shared" si="5"/>
        <v>0</v>
      </c>
    </row>
    <row r="336" spans="1:5" x14ac:dyDescent="0.25">
      <c r="A336">
        <v>70504</v>
      </c>
      <c r="B336" s="2" t="s">
        <v>374</v>
      </c>
      <c r="C336" s="2" t="s">
        <v>429</v>
      </c>
      <c r="D336" s="2" t="s">
        <v>433</v>
      </c>
      <c r="E336" s="4">
        <f t="shared" si="5"/>
        <v>0</v>
      </c>
    </row>
    <row r="337" spans="1:5" x14ac:dyDescent="0.25">
      <c r="A337">
        <v>70505</v>
      </c>
      <c r="B337" s="2" t="s">
        <v>374</v>
      </c>
      <c r="C337" s="2" t="s">
        <v>429</v>
      </c>
      <c r="D337" s="2" t="s">
        <v>434</v>
      </c>
      <c r="E337" s="4">
        <f t="shared" si="5"/>
        <v>0</v>
      </c>
    </row>
    <row r="338" spans="1:5" x14ac:dyDescent="0.25">
      <c r="A338">
        <v>70601</v>
      </c>
      <c r="B338" s="2" t="s">
        <v>374</v>
      </c>
      <c r="C338" s="2" t="s">
        <v>121</v>
      </c>
      <c r="D338" s="2" t="s">
        <v>435</v>
      </c>
      <c r="E338" s="4">
        <f t="shared" si="5"/>
        <v>0</v>
      </c>
    </row>
    <row r="339" spans="1:5" x14ac:dyDescent="0.25">
      <c r="A339">
        <v>70602</v>
      </c>
      <c r="B339" s="2" t="s">
        <v>374</v>
      </c>
      <c r="C339" s="2" t="s">
        <v>121</v>
      </c>
      <c r="D339" s="2" t="s">
        <v>436</v>
      </c>
      <c r="E339" s="4">
        <f t="shared" si="5"/>
        <v>0</v>
      </c>
    </row>
    <row r="340" spans="1:5" x14ac:dyDescent="0.25">
      <c r="A340">
        <v>70603</v>
      </c>
      <c r="B340" s="2" t="s">
        <v>374</v>
      </c>
      <c r="C340" s="2" t="s">
        <v>121</v>
      </c>
      <c r="D340" s="2" t="s">
        <v>437</v>
      </c>
      <c r="E340" s="4">
        <f t="shared" si="5"/>
        <v>0</v>
      </c>
    </row>
    <row r="341" spans="1:5" x14ac:dyDescent="0.25">
      <c r="A341">
        <v>70604</v>
      </c>
      <c r="B341" s="2" t="s">
        <v>374</v>
      </c>
      <c r="C341" s="2" t="s">
        <v>121</v>
      </c>
      <c r="D341" s="2" t="s">
        <v>228</v>
      </c>
      <c r="E341" s="4">
        <f t="shared" si="5"/>
        <v>0</v>
      </c>
    </row>
    <row r="342" spans="1:5" x14ac:dyDescent="0.25">
      <c r="A342">
        <v>70605</v>
      </c>
      <c r="B342" s="2" t="s">
        <v>374</v>
      </c>
      <c r="C342" s="2" t="s">
        <v>121</v>
      </c>
      <c r="D342" s="2" t="s">
        <v>438</v>
      </c>
      <c r="E342" s="4">
        <f t="shared" si="5"/>
        <v>0</v>
      </c>
    </row>
    <row r="343" spans="1:5" x14ac:dyDescent="0.25">
      <c r="A343">
        <v>70701</v>
      </c>
      <c r="B343" s="2" t="s">
        <v>374</v>
      </c>
      <c r="C343" s="2" t="s">
        <v>439</v>
      </c>
      <c r="D343" s="2" t="s">
        <v>440</v>
      </c>
      <c r="E343" s="4">
        <f t="shared" si="5"/>
        <v>0</v>
      </c>
    </row>
    <row r="344" spans="1:5" x14ac:dyDescent="0.25">
      <c r="A344">
        <v>70702</v>
      </c>
      <c r="B344" s="2" t="s">
        <v>374</v>
      </c>
      <c r="C344" s="2" t="s">
        <v>439</v>
      </c>
      <c r="D344" s="2" t="s">
        <v>441</v>
      </c>
      <c r="E344" s="4">
        <f t="shared" si="5"/>
        <v>0</v>
      </c>
    </row>
    <row r="345" spans="1:5" x14ac:dyDescent="0.25">
      <c r="A345">
        <v>70703</v>
      </c>
      <c r="B345" s="2" t="s">
        <v>374</v>
      </c>
      <c r="C345" s="2" t="s">
        <v>439</v>
      </c>
      <c r="D345" s="2" t="s">
        <v>442</v>
      </c>
      <c r="E345" s="4">
        <f t="shared" si="5"/>
        <v>0</v>
      </c>
    </row>
    <row r="346" spans="1:5" x14ac:dyDescent="0.25">
      <c r="A346">
        <v>70704</v>
      </c>
      <c r="B346" s="2" t="s">
        <v>374</v>
      </c>
      <c r="C346" s="2" t="s">
        <v>439</v>
      </c>
      <c r="D346" s="2" t="s">
        <v>443</v>
      </c>
      <c r="E346" s="4">
        <f t="shared" si="5"/>
        <v>0</v>
      </c>
    </row>
    <row r="347" spans="1:5" x14ac:dyDescent="0.25">
      <c r="A347">
        <v>70705</v>
      </c>
      <c r="B347" s="2" t="s">
        <v>374</v>
      </c>
      <c r="C347" s="2" t="s">
        <v>439</v>
      </c>
      <c r="D347" s="2" t="s">
        <v>444</v>
      </c>
      <c r="E347" s="4">
        <f t="shared" si="5"/>
        <v>0</v>
      </c>
    </row>
    <row r="348" spans="1:5" x14ac:dyDescent="0.25">
      <c r="A348">
        <v>70706</v>
      </c>
      <c r="B348" s="2" t="s">
        <v>374</v>
      </c>
      <c r="C348" s="2" t="s">
        <v>439</v>
      </c>
      <c r="D348" s="2" t="s">
        <v>445</v>
      </c>
      <c r="E348" s="4">
        <f t="shared" si="5"/>
        <v>0</v>
      </c>
    </row>
    <row r="349" spans="1:5" x14ac:dyDescent="0.25">
      <c r="A349">
        <v>70707</v>
      </c>
      <c r="B349" s="2" t="s">
        <v>374</v>
      </c>
      <c r="C349" s="2" t="s">
        <v>439</v>
      </c>
      <c r="D349" s="2" t="s">
        <v>446</v>
      </c>
      <c r="E349" s="4">
        <f t="shared" si="5"/>
        <v>0</v>
      </c>
    </row>
    <row r="350" spans="1:5" x14ac:dyDescent="0.25">
      <c r="A350">
        <v>70708</v>
      </c>
      <c r="B350" s="2" t="s">
        <v>374</v>
      </c>
      <c r="C350" s="2" t="s">
        <v>439</v>
      </c>
      <c r="D350" s="2" t="s">
        <v>447</v>
      </c>
      <c r="E350" s="4">
        <f t="shared" si="5"/>
        <v>0</v>
      </c>
    </row>
    <row r="351" spans="1:5" x14ac:dyDescent="0.25">
      <c r="A351">
        <v>70709</v>
      </c>
      <c r="B351" s="2" t="s">
        <v>374</v>
      </c>
      <c r="C351" s="2" t="s">
        <v>439</v>
      </c>
      <c r="D351" s="2" t="s">
        <v>448</v>
      </c>
      <c r="E351" s="4">
        <f t="shared" si="5"/>
        <v>0</v>
      </c>
    </row>
    <row r="352" spans="1:5" x14ac:dyDescent="0.25">
      <c r="A352">
        <v>70710</v>
      </c>
      <c r="B352" s="2" t="s">
        <v>374</v>
      </c>
      <c r="C352" s="2" t="s">
        <v>439</v>
      </c>
      <c r="D352" s="2" t="s">
        <v>449</v>
      </c>
      <c r="E352" s="4">
        <f t="shared" si="5"/>
        <v>0</v>
      </c>
    </row>
    <row r="353" spans="1:5" x14ac:dyDescent="0.25">
      <c r="A353">
        <v>70711</v>
      </c>
      <c r="B353" s="2" t="s">
        <v>374</v>
      </c>
      <c r="C353" s="2" t="s">
        <v>439</v>
      </c>
      <c r="D353" s="2" t="s">
        <v>450</v>
      </c>
      <c r="E353" s="4">
        <f t="shared" si="5"/>
        <v>0</v>
      </c>
    </row>
    <row r="354" spans="1:5" x14ac:dyDescent="0.25">
      <c r="A354">
        <v>80201</v>
      </c>
      <c r="B354" s="2" t="s">
        <v>451</v>
      </c>
      <c r="C354" s="2" t="s">
        <v>452</v>
      </c>
      <c r="D354" s="2" t="s">
        <v>453</v>
      </c>
      <c r="E354" s="4">
        <f t="shared" si="5"/>
        <v>0</v>
      </c>
    </row>
    <row r="355" spans="1:5" x14ac:dyDescent="0.25">
      <c r="A355">
        <v>80202</v>
      </c>
      <c r="B355" s="2" t="s">
        <v>451</v>
      </c>
      <c r="C355" s="2" t="s">
        <v>452</v>
      </c>
      <c r="D355" s="2" t="s">
        <v>454</v>
      </c>
      <c r="E355" s="4">
        <f t="shared" si="5"/>
        <v>0</v>
      </c>
    </row>
    <row r="356" spans="1:5" x14ac:dyDescent="0.25">
      <c r="A356">
        <v>80203</v>
      </c>
      <c r="B356" s="2" t="s">
        <v>451</v>
      </c>
      <c r="C356" s="2" t="s">
        <v>452</v>
      </c>
      <c r="D356" s="2" t="s">
        <v>455</v>
      </c>
      <c r="E356" s="4">
        <f t="shared" si="5"/>
        <v>0</v>
      </c>
    </row>
    <row r="357" spans="1:5" x14ac:dyDescent="0.25">
      <c r="A357">
        <v>80204</v>
      </c>
      <c r="B357" s="2" t="s">
        <v>451</v>
      </c>
      <c r="C357" s="2" t="s">
        <v>452</v>
      </c>
      <c r="D357" s="2" t="s">
        <v>456</v>
      </c>
      <c r="E357" s="4">
        <f t="shared" si="5"/>
        <v>0</v>
      </c>
    </row>
    <row r="358" spans="1:5" x14ac:dyDescent="0.25">
      <c r="A358">
        <v>80205</v>
      </c>
      <c r="B358" s="2" t="s">
        <v>451</v>
      </c>
      <c r="C358" s="2" t="s">
        <v>452</v>
      </c>
      <c r="D358" s="2" t="s">
        <v>457</v>
      </c>
      <c r="E358" s="4">
        <f t="shared" si="5"/>
        <v>0</v>
      </c>
    </row>
    <row r="359" spans="1:5" x14ac:dyDescent="0.25">
      <c r="A359">
        <v>80206</v>
      </c>
      <c r="B359" s="2" t="s">
        <v>451</v>
      </c>
      <c r="C359" s="2" t="s">
        <v>452</v>
      </c>
      <c r="D359" s="2" t="s">
        <v>458</v>
      </c>
      <c r="E359" s="4">
        <f t="shared" si="5"/>
        <v>0</v>
      </c>
    </row>
    <row r="360" spans="1:5" x14ac:dyDescent="0.25">
      <c r="A360">
        <v>80501</v>
      </c>
      <c r="B360" s="2" t="s">
        <v>451</v>
      </c>
      <c r="C360" s="2" t="s">
        <v>330</v>
      </c>
      <c r="D360" s="2" t="s">
        <v>459</v>
      </c>
      <c r="E360" s="4">
        <f t="shared" si="5"/>
        <v>0</v>
      </c>
    </row>
    <row r="361" spans="1:5" x14ac:dyDescent="0.25">
      <c r="A361">
        <v>80502</v>
      </c>
      <c r="B361" s="2" t="s">
        <v>451</v>
      </c>
      <c r="C361" s="2" t="s">
        <v>330</v>
      </c>
      <c r="D361" s="2" t="s">
        <v>460</v>
      </c>
      <c r="E361" s="4">
        <f t="shared" si="5"/>
        <v>0</v>
      </c>
    </row>
    <row r="362" spans="1:5" x14ac:dyDescent="0.25">
      <c r="A362">
        <v>80504</v>
      </c>
      <c r="B362" s="2" t="s">
        <v>451</v>
      </c>
      <c r="C362" s="2" t="s">
        <v>330</v>
      </c>
      <c r="D362" s="2" t="s">
        <v>461</v>
      </c>
      <c r="E362" s="4">
        <f t="shared" si="5"/>
        <v>0</v>
      </c>
    </row>
    <row r="363" spans="1:5" x14ac:dyDescent="0.25">
      <c r="A363">
        <v>80504</v>
      </c>
      <c r="B363" s="2" t="s">
        <v>451</v>
      </c>
      <c r="C363" s="2" t="s">
        <v>330</v>
      </c>
      <c r="D363" s="2" t="s">
        <v>461</v>
      </c>
      <c r="E363" s="4">
        <f t="shared" si="5"/>
        <v>0</v>
      </c>
    </row>
    <row r="364" spans="1:5" x14ac:dyDescent="0.25">
      <c r="A364">
        <v>80505</v>
      </c>
      <c r="B364" s="2" t="s">
        <v>451</v>
      </c>
      <c r="C364" s="2" t="s">
        <v>330</v>
      </c>
      <c r="D364" s="2" t="s">
        <v>462</v>
      </c>
      <c r="E364" s="4">
        <f t="shared" si="5"/>
        <v>0</v>
      </c>
    </row>
    <row r="365" spans="1:5" x14ac:dyDescent="0.25">
      <c r="A365">
        <v>80506</v>
      </c>
      <c r="B365" s="2" t="s">
        <v>451</v>
      </c>
      <c r="C365" s="2" t="s">
        <v>330</v>
      </c>
      <c r="D365" s="2" t="s">
        <v>463</v>
      </c>
      <c r="E365" s="4">
        <f t="shared" si="5"/>
        <v>0</v>
      </c>
    </row>
    <row r="366" spans="1:5" x14ac:dyDescent="0.25">
      <c r="A366">
        <v>80506</v>
      </c>
      <c r="B366" s="2" t="s">
        <v>451</v>
      </c>
      <c r="C366" s="2" t="s">
        <v>330</v>
      </c>
      <c r="D366" s="2" t="s">
        <v>464</v>
      </c>
      <c r="E366" s="4">
        <f t="shared" si="5"/>
        <v>0</v>
      </c>
    </row>
    <row r="367" spans="1:5" ht="24" x14ac:dyDescent="0.25">
      <c r="A367">
        <v>80507</v>
      </c>
      <c r="B367" s="2" t="s">
        <v>451</v>
      </c>
      <c r="C367" s="2" t="s">
        <v>330</v>
      </c>
      <c r="D367" s="2" t="s">
        <v>465</v>
      </c>
      <c r="E367" s="4">
        <f t="shared" si="5"/>
        <v>0</v>
      </c>
    </row>
    <row r="368" spans="1:5" ht="24" x14ac:dyDescent="0.25">
      <c r="A368">
        <v>80507</v>
      </c>
      <c r="B368" s="2" t="s">
        <v>451</v>
      </c>
      <c r="C368" s="2" t="s">
        <v>330</v>
      </c>
      <c r="D368" s="2" t="s">
        <v>465</v>
      </c>
      <c r="E368" s="4">
        <f t="shared" si="5"/>
        <v>0</v>
      </c>
    </row>
    <row r="369" spans="1:5" x14ac:dyDescent="0.25">
      <c r="A369">
        <v>80508</v>
      </c>
      <c r="B369" s="2" t="s">
        <v>451</v>
      </c>
      <c r="C369" s="2" t="s">
        <v>330</v>
      </c>
      <c r="D369" s="2" t="s">
        <v>466</v>
      </c>
      <c r="E369" s="4">
        <f t="shared" si="5"/>
        <v>0</v>
      </c>
    </row>
    <row r="370" spans="1:5" x14ac:dyDescent="0.25">
      <c r="A370">
        <v>80601</v>
      </c>
      <c r="B370" s="2" t="s">
        <v>451</v>
      </c>
      <c r="C370" s="2" t="s">
        <v>467</v>
      </c>
      <c r="D370" s="2" t="s">
        <v>468</v>
      </c>
      <c r="E370" s="4">
        <f t="shared" si="5"/>
        <v>0</v>
      </c>
    </row>
    <row r="371" spans="1:5" x14ac:dyDescent="0.25">
      <c r="A371">
        <v>80602</v>
      </c>
      <c r="B371" s="2" t="s">
        <v>451</v>
      </c>
      <c r="C371" s="2" t="s">
        <v>467</v>
      </c>
      <c r="D371" s="2" t="s">
        <v>469</v>
      </c>
      <c r="E371" s="4">
        <f t="shared" si="5"/>
        <v>0</v>
      </c>
    </row>
    <row r="372" spans="1:5" x14ac:dyDescent="0.25">
      <c r="A372">
        <v>80603</v>
      </c>
      <c r="B372" s="2" t="s">
        <v>451</v>
      </c>
      <c r="C372" s="2" t="s">
        <v>467</v>
      </c>
      <c r="D372" s="2" t="s">
        <v>470</v>
      </c>
      <c r="E372" s="4">
        <f t="shared" si="5"/>
        <v>0</v>
      </c>
    </row>
    <row r="373" spans="1:5" x14ac:dyDescent="0.25">
      <c r="A373">
        <v>80604</v>
      </c>
      <c r="B373" s="2" t="s">
        <v>451</v>
      </c>
      <c r="C373" s="2" t="s">
        <v>467</v>
      </c>
      <c r="D373" s="2" t="s">
        <v>471</v>
      </c>
      <c r="E373" s="4">
        <f t="shared" si="5"/>
        <v>0</v>
      </c>
    </row>
    <row r="374" spans="1:5" x14ac:dyDescent="0.25">
      <c r="A374">
        <v>80605</v>
      </c>
      <c r="B374" s="2" t="s">
        <v>451</v>
      </c>
      <c r="C374" s="2" t="s">
        <v>467</v>
      </c>
      <c r="D374" s="2" t="s">
        <v>472</v>
      </c>
      <c r="E374" s="4">
        <f t="shared" si="5"/>
        <v>0</v>
      </c>
    </row>
    <row r="375" spans="1:5" x14ac:dyDescent="0.25">
      <c r="A375">
        <v>80602</v>
      </c>
      <c r="B375" s="2" t="s">
        <v>451</v>
      </c>
      <c r="C375" s="2" t="s">
        <v>467</v>
      </c>
      <c r="D375" s="2" t="s">
        <v>469</v>
      </c>
      <c r="E375" s="4">
        <f t="shared" si="5"/>
        <v>0</v>
      </c>
    </row>
    <row r="376" spans="1:5" x14ac:dyDescent="0.25">
      <c r="A376">
        <v>80801</v>
      </c>
      <c r="B376" s="2" t="s">
        <v>451</v>
      </c>
      <c r="C376" s="2" t="s">
        <v>451</v>
      </c>
      <c r="D376" s="2" t="s">
        <v>473</v>
      </c>
      <c r="E376" s="4">
        <f t="shared" si="5"/>
        <v>0</v>
      </c>
    </row>
    <row r="377" spans="1:5" x14ac:dyDescent="0.25">
      <c r="A377">
        <v>80802</v>
      </c>
      <c r="B377" s="2" t="s">
        <v>451</v>
      </c>
      <c r="C377" s="2" t="s">
        <v>451</v>
      </c>
      <c r="D377" s="2" t="s">
        <v>474</v>
      </c>
      <c r="E377" s="4">
        <f t="shared" si="5"/>
        <v>0</v>
      </c>
    </row>
    <row r="378" spans="1:5" x14ac:dyDescent="0.25">
      <c r="A378">
        <v>80803</v>
      </c>
      <c r="B378" s="2" t="s">
        <v>451</v>
      </c>
      <c r="C378" s="2" t="s">
        <v>451</v>
      </c>
      <c r="D378" s="2" t="s">
        <v>414</v>
      </c>
      <c r="E378" s="4">
        <f t="shared" si="5"/>
        <v>0</v>
      </c>
    </row>
    <row r="379" spans="1:5" x14ac:dyDescent="0.25">
      <c r="A379">
        <v>80804</v>
      </c>
      <c r="B379" s="2" t="s">
        <v>451</v>
      </c>
      <c r="C379" s="2" t="s">
        <v>451</v>
      </c>
      <c r="D379" s="2" t="s">
        <v>475</v>
      </c>
      <c r="E379" s="4">
        <f t="shared" si="5"/>
        <v>0</v>
      </c>
    </row>
    <row r="380" spans="1:5" x14ac:dyDescent="0.25">
      <c r="A380">
        <v>80805</v>
      </c>
      <c r="B380" s="2" t="s">
        <v>451</v>
      </c>
      <c r="C380" s="2" t="s">
        <v>451</v>
      </c>
      <c r="D380" s="2" t="s">
        <v>476</v>
      </c>
      <c r="E380" s="4">
        <f t="shared" si="5"/>
        <v>0</v>
      </c>
    </row>
    <row r="381" spans="1:5" x14ac:dyDescent="0.25">
      <c r="A381">
        <v>80806</v>
      </c>
      <c r="B381" s="2" t="s">
        <v>451</v>
      </c>
      <c r="C381" s="2" t="s">
        <v>451</v>
      </c>
      <c r="D381" s="2" t="s">
        <v>477</v>
      </c>
      <c r="E381" s="4">
        <f t="shared" si="5"/>
        <v>0</v>
      </c>
    </row>
    <row r="382" spans="1:5" x14ac:dyDescent="0.25">
      <c r="A382">
        <v>80807</v>
      </c>
      <c r="B382" s="2" t="s">
        <v>451</v>
      </c>
      <c r="C382" s="2" t="s">
        <v>451</v>
      </c>
      <c r="D382" s="2" t="s">
        <v>294</v>
      </c>
      <c r="E382" s="4">
        <f t="shared" si="5"/>
        <v>0</v>
      </c>
    </row>
    <row r="383" spans="1:5" x14ac:dyDescent="0.25">
      <c r="A383">
        <v>80808</v>
      </c>
      <c r="B383" s="2" t="s">
        <v>451</v>
      </c>
      <c r="C383" s="2" t="s">
        <v>451</v>
      </c>
      <c r="D383" s="2" t="s">
        <v>478</v>
      </c>
      <c r="E383" s="4">
        <f t="shared" si="5"/>
        <v>0</v>
      </c>
    </row>
    <row r="384" spans="1:5" x14ac:dyDescent="0.25">
      <c r="A384">
        <v>80809</v>
      </c>
      <c r="B384" s="2" t="s">
        <v>451</v>
      </c>
      <c r="C384" s="2" t="s">
        <v>451</v>
      </c>
      <c r="D384" s="2" t="s">
        <v>479</v>
      </c>
      <c r="E384" s="4">
        <f t="shared" si="5"/>
        <v>0</v>
      </c>
    </row>
    <row r="385" spans="1:5" x14ac:dyDescent="0.25">
      <c r="A385">
        <v>80810</v>
      </c>
      <c r="B385" s="2" t="s">
        <v>451</v>
      </c>
      <c r="C385" s="2" t="s">
        <v>451</v>
      </c>
      <c r="D385" s="2" t="s">
        <v>480</v>
      </c>
      <c r="E385" s="4">
        <f t="shared" si="5"/>
        <v>0</v>
      </c>
    </row>
    <row r="386" spans="1:5" x14ac:dyDescent="0.25">
      <c r="A386">
        <v>80811</v>
      </c>
      <c r="B386" s="2" t="s">
        <v>451</v>
      </c>
      <c r="C386" s="2" t="s">
        <v>451</v>
      </c>
      <c r="D386" s="2" t="s">
        <v>481</v>
      </c>
      <c r="E386" s="4">
        <f t="shared" si="5"/>
        <v>0</v>
      </c>
    </row>
    <row r="387" spans="1:5" x14ac:dyDescent="0.25">
      <c r="A387">
        <v>80812</v>
      </c>
      <c r="B387" s="2" t="s">
        <v>451</v>
      </c>
      <c r="C387" s="2" t="s">
        <v>451</v>
      </c>
      <c r="D387" s="2" t="s">
        <v>129</v>
      </c>
      <c r="E387" s="4">
        <f t="shared" si="5"/>
        <v>0</v>
      </c>
    </row>
    <row r="388" spans="1:5" x14ac:dyDescent="0.25">
      <c r="A388">
        <v>80813</v>
      </c>
      <c r="B388" s="2" t="s">
        <v>451</v>
      </c>
      <c r="C388" s="2" t="s">
        <v>451</v>
      </c>
      <c r="D388" s="2" t="s">
        <v>229</v>
      </c>
      <c r="E388" s="4">
        <f t="shared" si="5"/>
        <v>0</v>
      </c>
    </row>
    <row r="389" spans="1:5" x14ac:dyDescent="0.25">
      <c r="A389">
        <v>80814</v>
      </c>
      <c r="B389" s="2" t="s">
        <v>451</v>
      </c>
      <c r="C389" s="2" t="s">
        <v>451</v>
      </c>
      <c r="D389" s="2" t="s">
        <v>482</v>
      </c>
      <c r="E389" s="4">
        <f t="shared" ref="E389:E452" si="6">SUM(F389:AEZ389)</f>
        <v>0</v>
      </c>
    </row>
    <row r="390" spans="1:5" x14ac:dyDescent="0.25">
      <c r="A390">
        <v>80815</v>
      </c>
      <c r="B390" s="2" t="s">
        <v>451</v>
      </c>
      <c r="C390" s="2" t="s">
        <v>451</v>
      </c>
      <c r="D390" s="2" t="s">
        <v>482</v>
      </c>
      <c r="E390" s="4">
        <f t="shared" si="6"/>
        <v>0</v>
      </c>
    </row>
    <row r="391" spans="1:5" x14ac:dyDescent="0.25">
      <c r="A391">
        <v>80815</v>
      </c>
      <c r="B391" s="2" t="s">
        <v>451</v>
      </c>
      <c r="C391" s="2" t="s">
        <v>451</v>
      </c>
      <c r="D391" s="2" t="s">
        <v>483</v>
      </c>
      <c r="E391" s="4">
        <f t="shared" si="6"/>
        <v>0</v>
      </c>
    </row>
    <row r="392" spans="1:5" x14ac:dyDescent="0.25">
      <c r="A392">
        <v>80816</v>
      </c>
      <c r="B392" s="2" t="s">
        <v>451</v>
      </c>
      <c r="C392" s="2" t="s">
        <v>451</v>
      </c>
      <c r="D392" s="2" t="s">
        <v>484</v>
      </c>
      <c r="E392" s="4">
        <f t="shared" si="6"/>
        <v>0</v>
      </c>
    </row>
    <row r="393" spans="1:5" x14ac:dyDescent="0.25">
      <c r="A393">
        <v>80817</v>
      </c>
      <c r="B393" s="2" t="s">
        <v>451</v>
      </c>
      <c r="C393" s="2" t="s">
        <v>451</v>
      </c>
      <c r="D393" s="2" t="s">
        <v>485</v>
      </c>
      <c r="E393" s="4">
        <f t="shared" si="6"/>
        <v>0</v>
      </c>
    </row>
    <row r="394" spans="1:5" x14ac:dyDescent="0.25">
      <c r="A394">
        <v>80817</v>
      </c>
      <c r="B394" s="2" t="s">
        <v>451</v>
      </c>
      <c r="C394" s="2" t="s">
        <v>451</v>
      </c>
      <c r="D394" s="2" t="s">
        <v>486</v>
      </c>
      <c r="E394" s="4">
        <f t="shared" si="6"/>
        <v>0</v>
      </c>
    </row>
    <row r="395" spans="1:5" x14ac:dyDescent="0.25">
      <c r="A395">
        <v>80818</v>
      </c>
      <c r="B395" s="2" t="s">
        <v>451</v>
      </c>
      <c r="C395" s="2" t="s">
        <v>451</v>
      </c>
      <c r="D395" s="2" t="s">
        <v>487</v>
      </c>
      <c r="E395" s="4">
        <f t="shared" si="6"/>
        <v>0</v>
      </c>
    </row>
    <row r="396" spans="1:5" x14ac:dyDescent="0.25">
      <c r="A396">
        <v>80819</v>
      </c>
      <c r="B396" s="2" t="s">
        <v>451</v>
      </c>
      <c r="C396" s="2" t="s">
        <v>451</v>
      </c>
      <c r="D396" s="2" t="s">
        <v>488</v>
      </c>
      <c r="E396" s="4">
        <f t="shared" si="6"/>
        <v>0</v>
      </c>
    </row>
    <row r="397" spans="1:5" x14ac:dyDescent="0.25">
      <c r="A397">
        <v>80820</v>
      </c>
      <c r="B397" s="2" t="s">
        <v>451</v>
      </c>
      <c r="C397" s="2" t="s">
        <v>451</v>
      </c>
      <c r="D397" s="2" t="s">
        <v>489</v>
      </c>
      <c r="E397" s="4">
        <f t="shared" si="6"/>
        <v>0</v>
      </c>
    </row>
    <row r="398" spans="1:5" x14ac:dyDescent="0.25">
      <c r="A398">
        <v>80821</v>
      </c>
      <c r="B398" s="2" t="s">
        <v>451</v>
      </c>
      <c r="C398" s="2" t="s">
        <v>451</v>
      </c>
      <c r="D398" s="2" t="s">
        <v>490</v>
      </c>
      <c r="E398" s="4">
        <f t="shared" si="6"/>
        <v>0</v>
      </c>
    </row>
    <row r="399" spans="1:5" x14ac:dyDescent="0.25">
      <c r="A399">
        <v>80822</v>
      </c>
      <c r="B399" s="2" t="s">
        <v>451</v>
      </c>
      <c r="C399" s="2" t="s">
        <v>451</v>
      </c>
      <c r="D399" s="2" t="s">
        <v>491</v>
      </c>
      <c r="E399" s="4">
        <f t="shared" si="6"/>
        <v>0</v>
      </c>
    </row>
    <row r="400" spans="1:5" x14ac:dyDescent="0.25">
      <c r="A400">
        <v>80823</v>
      </c>
      <c r="B400" s="2" t="s">
        <v>451</v>
      </c>
      <c r="C400" s="2" t="s">
        <v>451</v>
      </c>
      <c r="D400" s="2" t="s">
        <v>492</v>
      </c>
      <c r="E400" s="4">
        <f t="shared" si="6"/>
        <v>0</v>
      </c>
    </row>
    <row r="401" spans="1:5" x14ac:dyDescent="0.25">
      <c r="A401">
        <v>80814</v>
      </c>
      <c r="B401" s="2" t="s">
        <v>451</v>
      </c>
      <c r="C401" s="2" t="s">
        <v>451</v>
      </c>
      <c r="D401" s="2" t="s">
        <v>493</v>
      </c>
      <c r="E401" s="4">
        <f t="shared" si="6"/>
        <v>0</v>
      </c>
    </row>
    <row r="402" spans="1:5" x14ac:dyDescent="0.25">
      <c r="A402">
        <v>80814</v>
      </c>
      <c r="B402" s="2" t="s">
        <v>451</v>
      </c>
      <c r="C402" s="2" t="s">
        <v>451</v>
      </c>
      <c r="D402" s="2" t="s">
        <v>493</v>
      </c>
      <c r="E402" s="4">
        <f t="shared" si="6"/>
        <v>0</v>
      </c>
    </row>
    <row r="403" spans="1:5" x14ac:dyDescent="0.25">
      <c r="A403">
        <v>81001</v>
      </c>
      <c r="B403" s="2" t="s">
        <v>451</v>
      </c>
      <c r="C403" s="2" t="s">
        <v>494</v>
      </c>
      <c r="D403" s="2" t="s">
        <v>495</v>
      </c>
      <c r="E403" s="4">
        <f t="shared" si="6"/>
        <v>0</v>
      </c>
    </row>
    <row r="404" spans="1:5" x14ac:dyDescent="0.25">
      <c r="A404">
        <v>81002</v>
      </c>
      <c r="B404" s="2" t="s">
        <v>451</v>
      </c>
      <c r="C404" s="2" t="s">
        <v>494</v>
      </c>
      <c r="D404" s="2" t="s">
        <v>496</v>
      </c>
      <c r="E404" s="4">
        <f t="shared" si="6"/>
        <v>0</v>
      </c>
    </row>
    <row r="405" spans="1:5" x14ac:dyDescent="0.25">
      <c r="A405">
        <v>81003</v>
      </c>
      <c r="B405" s="2" t="s">
        <v>451</v>
      </c>
      <c r="C405" s="2" t="s">
        <v>494</v>
      </c>
      <c r="D405" s="2" t="s">
        <v>497</v>
      </c>
      <c r="E405" s="4">
        <f t="shared" si="6"/>
        <v>0</v>
      </c>
    </row>
    <row r="406" spans="1:5" x14ac:dyDescent="0.25">
      <c r="A406">
        <v>81004</v>
      </c>
      <c r="B406" s="2" t="s">
        <v>451</v>
      </c>
      <c r="C406" s="2" t="s">
        <v>494</v>
      </c>
      <c r="D406" s="2" t="s">
        <v>498</v>
      </c>
      <c r="E406" s="4">
        <f t="shared" si="6"/>
        <v>0</v>
      </c>
    </row>
    <row r="407" spans="1:5" x14ac:dyDescent="0.25">
      <c r="A407">
        <v>81005</v>
      </c>
      <c r="B407" s="2" t="s">
        <v>451</v>
      </c>
      <c r="C407" s="2" t="s">
        <v>494</v>
      </c>
      <c r="D407" s="2" t="s">
        <v>499</v>
      </c>
      <c r="E407" s="4">
        <f t="shared" si="6"/>
        <v>0</v>
      </c>
    </row>
    <row r="408" spans="1:5" x14ac:dyDescent="0.25">
      <c r="A408">
        <v>81006</v>
      </c>
      <c r="B408" s="2" t="s">
        <v>451</v>
      </c>
      <c r="C408" s="2" t="s">
        <v>494</v>
      </c>
      <c r="D408" s="2" t="s">
        <v>500</v>
      </c>
      <c r="E408" s="4">
        <f t="shared" si="6"/>
        <v>0</v>
      </c>
    </row>
    <row r="409" spans="1:5" x14ac:dyDescent="0.25">
      <c r="A409">
        <v>81007</v>
      </c>
      <c r="B409" s="2" t="s">
        <v>451</v>
      </c>
      <c r="C409" s="2" t="s">
        <v>494</v>
      </c>
      <c r="D409" s="2" t="s">
        <v>501</v>
      </c>
      <c r="E409" s="4">
        <f t="shared" si="6"/>
        <v>0</v>
      </c>
    </row>
    <row r="410" spans="1:5" x14ac:dyDescent="0.25">
      <c r="A410">
        <v>81008</v>
      </c>
      <c r="B410" s="2" t="s">
        <v>451</v>
      </c>
      <c r="C410" s="2" t="s">
        <v>494</v>
      </c>
      <c r="D410" s="2" t="s">
        <v>502</v>
      </c>
      <c r="E410" s="4">
        <f t="shared" si="6"/>
        <v>0</v>
      </c>
    </row>
    <row r="411" spans="1:5" x14ac:dyDescent="0.25">
      <c r="A411">
        <v>81009</v>
      </c>
      <c r="B411" s="2" t="s">
        <v>451</v>
      </c>
      <c r="C411" s="2" t="s">
        <v>494</v>
      </c>
      <c r="D411" s="2" t="s">
        <v>503</v>
      </c>
      <c r="E411" s="4">
        <f t="shared" si="6"/>
        <v>0</v>
      </c>
    </row>
    <row r="412" spans="1:5" x14ac:dyDescent="0.25">
      <c r="A412">
        <v>81101</v>
      </c>
      <c r="B412" s="2" t="s">
        <v>451</v>
      </c>
      <c r="C412" s="2" t="s">
        <v>504</v>
      </c>
      <c r="D412" s="2" t="s">
        <v>505</v>
      </c>
      <c r="E412" s="4">
        <f t="shared" si="6"/>
        <v>0</v>
      </c>
    </row>
    <row r="413" spans="1:5" x14ac:dyDescent="0.25">
      <c r="A413">
        <v>81102</v>
      </c>
      <c r="B413" s="2" t="s">
        <v>451</v>
      </c>
      <c r="C413" s="2" t="s">
        <v>504</v>
      </c>
      <c r="D413" s="2" t="s">
        <v>506</v>
      </c>
      <c r="E413" s="4">
        <f t="shared" si="6"/>
        <v>0</v>
      </c>
    </row>
    <row r="414" spans="1:5" x14ac:dyDescent="0.25">
      <c r="A414">
        <v>81103</v>
      </c>
      <c r="B414" s="2" t="s">
        <v>451</v>
      </c>
      <c r="C414" s="2" t="s">
        <v>504</v>
      </c>
      <c r="D414" s="2" t="s">
        <v>507</v>
      </c>
      <c r="E414" s="4">
        <f t="shared" si="6"/>
        <v>0</v>
      </c>
    </row>
    <row r="415" spans="1:5" x14ac:dyDescent="0.25">
      <c r="A415">
        <v>90101</v>
      </c>
      <c r="B415" s="2" t="s">
        <v>508</v>
      </c>
      <c r="C415" s="2" t="s">
        <v>509</v>
      </c>
      <c r="D415" s="2" t="s">
        <v>510</v>
      </c>
      <c r="E415" s="4">
        <f t="shared" si="6"/>
        <v>0</v>
      </c>
    </row>
    <row r="416" spans="1:5" x14ac:dyDescent="0.25">
      <c r="A416">
        <v>90102</v>
      </c>
      <c r="B416" s="2" t="s">
        <v>508</v>
      </c>
      <c r="C416" s="2" t="s">
        <v>509</v>
      </c>
      <c r="D416" s="2" t="s">
        <v>511</v>
      </c>
      <c r="E416" s="4">
        <f t="shared" si="6"/>
        <v>0</v>
      </c>
    </row>
    <row r="417" spans="1:5" x14ac:dyDescent="0.25">
      <c r="A417">
        <v>90103</v>
      </c>
      <c r="B417" s="2" t="s">
        <v>508</v>
      </c>
      <c r="C417" s="2" t="s">
        <v>509</v>
      </c>
      <c r="D417" s="2" t="s">
        <v>512</v>
      </c>
      <c r="E417" s="4">
        <f t="shared" si="6"/>
        <v>0</v>
      </c>
    </row>
    <row r="418" spans="1:5" x14ac:dyDescent="0.25">
      <c r="A418">
        <v>90104</v>
      </c>
      <c r="B418" s="2" t="s">
        <v>508</v>
      </c>
      <c r="C418" s="2" t="s">
        <v>509</v>
      </c>
      <c r="D418" s="2" t="s">
        <v>513</v>
      </c>
      <c r="E418" s="4">
        <f t="shared" si="6"/>
        <v>0</v>
      </c>
    </row>
    <row r="419" spans="1:5" x14ac:dyDescent="0.25">
      <c r="A419">
        <v>90105</v>
      </c>
      <c r="B419" s="2" t="s">
        <v>508</v>
      </c>
      <c r="C419" s="2" t="s">
        <v>509</v>
      </c>
      <c r="D419" s="2" t="s">
        <v>514</v>
      </c>
      <c r="E419" s="4">
        <f t="shared" si="6"/>
        <v>0</v>
      </c>
    </row>
    <row r="420" spans="1:5" x14ac:dyDescent="0.25">
      <c r="A420">
        <v>90201</v>
      </c>
      <c r="B420" s="2" t="s">
        <v>508</v>
      </c>
      <c r="C420" s="2" t="s">
        <v>515</v>
      </c>
      <c r="D420" s="2" t="s">
        <v>516</v>
      </c>
      <c r="E420" s="4">
        <f t="shared" si="6"/>
        <v>0</v>
      </c>
    </row>
    <row r="421" spans="1:5" x14ac:dyDescent="0.25">
      <c r="A421">
        <v>90202</v>
      </c>
      <c r="B421" s="2" t="s">
        <v>508</v>
      </c>
      <c r="C421" s="2" t="s">
        <v>515</v>
      </c>
      <c r="D421" s="2" t="s">
        <v>517</v>
      </c>
      <c r="E421" s="4">
        <f t="shared" si="6"/>
        <v>0</v>
      </c>
    </row>
    <row r="422" spans="1:5" x14ac:dyDescent="0.25">
      <c r="A422">
        <v>90203</v>
      </c>
      <c r="B422" s="2" t="s">
        <v>508</v>
      </c>
      <c r="C422" s="2" t="s">
        <v>515</v>
      </c>
      <c r="D422" s="2" t="s">
        <v>518</v>
      </c>
      <c r="E422" s="4">
        <f t="shared" si="6"/>
        <v>0</v>
      </c>
    </row>
    <row r="423" spans="1:5" x14ac:dyDescent="0.25">
      <c r="A423">
        <v>90204</v>
      </c>
      <c r="B423" s="2" t="s">
        <v>508</v>
      </c>
      <c r="C423" s="2" t="s">
        <v>515</v>
      </c>
      <c r="D423" s="2" t="s">
        <v>519</v>
      </c>
      <c r="E423" s="4">
        <f t="shared" si="6"/>
        <v>0</v>
      </c>
    </row>
    <row r="424" spans="1:5" x14ac:dyDescent="0.25">
      <c r="A424">
        <v>90205</v>
      </c>
      <c r="B424" s="2" t="s">
        <v>508</v>
      </c>
      <c r="C424" s="2" t="s">
        <v>515</v>
      </c>
      <c r="D424" s="2" t="s">
        <v>137</v>
      </c>
      <c r="E424" s="4">
        <f t="shared" si="6"/>
        <v>0</v>
      </c>
    </row>
    <row r="425" spans="1:5" x14ac:dyDescent="0.25">
      <c r="A425">
        <v>90206</v>
      </c>
      <c r="B425" s="2" t="s">
        <v>508</v>
      </c>
      <c r="C425" s="2" t="s">
        <v>515</v>
      </c>
      <c r="D425" s="2" t="s">
        <v>520</v>
      </c>
      <c r="E425" s="4">
        <f t="shared" si="6"/>
        <v>0</v>
      </c>
    </row>
    <row r="426" spans="1:5" x14ac:dyDescent="0.25">
      <c r="A426">
        <v>90207</v>
      </c>
      <c r="B426" s="2" t="s">
        <v>508</v>
      </c>
      <c r="C426" s="2" t="s">
        <v>515</v>
      </c>
      <c r="D426" s="2" t="s">
        <v>521</v>
      </c>
      <c r="E426" s="4">
        <f t="shared" si="6"/>
        <v>0</v>
      </c>
    </row>
    <row r="427" spans="1:5" x14ac:dyDescent="0.25">
      <c r="A427">
        <v>90208</v>
      </c>
      <c r="B427" s="2" t="s">
        <v>508</v>
      </c>
      <c r="C427" s="2" t="s">
        <v>515</v>
      </c>
      <c r="D427" s="2" t="s">
        <v>522</v>
      </c>
      <c r="E427" s="4">
        <f t="shared" si="6"/>
        <v>0</v>
      </c>
    </row>
    <row r="428" spans="1:5" x14ac:dyDescent="0.25">
      <c r="A428">
        <v>90209</v>
      </c>
      <c r="B428" s="2" t="s">
        <v>508</v>
      </c>
      <c r="C428" s="2" t="s">
        <v>515</v>
      </c>
      <c r="D428" s="2" t="s">
        <v>523</v>
      </c>
      <c r="E428" s="4">
        <f t="shared" si="6"/>
        <v>0</v>
      </c>
    </row>
    <row r="429" spans="1:5" x14ac:dyDescent="0.25">
      <c r="A429">
        <v>90209</v>
      </c>
      <c r="B429" s="2" t="s">
        <v>508</v>
      </c>
      <c r="C429" s="2" t="s">
        <v>515</v>
      </c>
      <c r="D429" s="2" t="s">
        <v>523</v>
      </c>
      <c r="E429" s="4">
        <f t="shared" si="6"/>
        <v>0</v>
      </c>
    </row>
    <row r="430" spans="1:5" x14ac:dyDescent="0.25">
      <c r="A430">
        <v>90210</v>
      </c>
      <c r="B430" s="2" t="s">
        <v>508</v>
      </c>
      <c r="C430" s="2" t="s">
        <v>515</v>
      </c>
      <c r="D430" s="2" t="s">
        <v>524</v>
      </c>
      <c r="E430" s="4">
        <f t="shared" si="6"/>
        <v>0</v>
      </c>
    </row>
    <row r="431" spans="1:5" x14ac:dyDescent="0.25">
      <c r="A431">
        <v>90211</v>
      </c>
      <c r="B431" s="2" t="s">
        <v>508</v>
      </c>
      <c r="C431" s="2" t="s">
        <v>515</v>
      </c>
      <c r="D431" s="2" t="s">
        <v>525</v>
      </c>
      <c r="E431" s="4">
        <f t="shared" si="6"/>
        <v>0</v>
      </c>
    </row>
    <row r="432" spans="1:5" x14ac:dyDescent="0.25">
      <c r="A432">
        <v>90212</v>
      </c>
      <c r="B432" s="2" t="s">
        <v>508</v>
      </c>
      <c r="C432" s="2" t="s">
        <v>515</v>
      </c>
      <c r="D432" s="2" t="s">
        <v>402</v>
      </c>
      <c r="E432" s="4">
        <f t="shared" si="6"/>
        <v>0</v>
      </c>
    </row>
    <row r="433" spans="1:5" x14ac:dyDescent="0.25">
      <c r="A433">
        <v>90301</v>
      </c>
      <c r="B433" s="2" t="s">
        <v>508</v>
      </c>
      <c r="C433" s="2" t="s">
        <v>526</v>
      </c>
      <c r="D433" s="2" t="s">
        <v>527</v>
      </c>
      <c r="E433" s="4">
        <f t="shared" si="6"/>
        <v>0</v>
      </c>
    </row>
    <row r="434" spans="1:5" x14ac:dyDescent="0.25">
      <c r="A434">
        <v>90302</v>
      </c>
      <c r="B434" s="2" t="s">
        <v>508</v>
      </c>
      <c r="C434" s="2" t="s">
        <v>526</v>
      </c>
      <c r="D434" s="2" t="s">
        <v>528</v>
      </c>
      <c r="E434" s="4">
        <f t="shared" si="6"/>
        <v>0</v>
      </c>
    </row>
    <row r="435" spans="1:5" x14ac:dyDescent="0.25">
      <c r="A435">
        <v>90303</v>
      </c>
      <c r="B435" s="2" t="s">
        <v>508</v>
      </c>
      <c r="C435" s="2" t="s">
        <v>526</v>
      </c>
      <c r="D435" s="2" t="s">
        <v>529</v>
      </c>
      <c r="E435" s="4">
        <f t="shared" si="6"/>
        <v>0</v>
      </c>
    </row>
    <row r="436" spans="1:5" x14ac:dyDescent="0.25">
      <c r="A436">
        <v>90304</v>
      </c>
      <c r="B436" s="2" t="s">
        <v>508</v>
      </c>
      <c r="C436" s="2" t="s">
        <v>526</v>
      </c>
      <c r="D436" s="2" t="s">
        <v>530</v>
      </c>
      <c r="E436" s="4">
        <f t="shared" si="6"/>
        <v>0</v>
      </c>
    </row>
    <row r="437" spans="1:5" x14ac:dyDescent="0.25">
      <c r="A437">
        <v>90305</v>
      </c>
      <c r="B437" s="2" t="s">
        <v>508</v>
      </c>
      <c r="C437" s="2" t="s">
        <v>526</v>
      </c>
      <c r="D437" s="2" t="s">
        <v>402</v>
      </c>
      <c r="E437" s="4">
        <f t="shared" si="6"/>
        <v>0</v>
      </c>
    </row>
    <row r="438" spans="1:5" x14ac:dyDescent="0.25">
      <c r="A438">
        <v>90306</v>
      </c>
      <c r="B438" s="2" t="s">
        <v>508</v>
      </c>
      <c r="C438" s="2" t="s">
        <v>526</v>
      </c>
      <c r="D438" s="2" t="s">
        <v>531</v>
      </c>
      <c r="E438" s="4">
        <f t="shared" si="6"/>
        <v>0</v>
      </c>
    </row>
    <row r="439" spans="1:5" x14ac:dyDescent="0.25">
      <c r="A439">
        <v>90307</v>
      </c>
      <c r="B439" s="2" t="s">
        <v>508</v>
      </c>
      <c r="C439" s="2" t="s">
        <v>526</v>
      </c>
      <c r="D439" s="2" t="s">
        <v>532</v>
      </c>
      <c r="E439" s="4">
        <f t="shared" si="6"/>
        <v>0</v>
      </c>
    </row>
    <row r="440" spans="1:5" x14ac:dyDescent="0.25">
      <c r="A440">
        <v>90308</v>
      </c>
      <c r="B440" s="2" t="s">
        <v>508</v>
      </c>
      <c r="C440" s="2" t="s">
        <v>526</v>
      </c>
      <c r="D440" s="2" t="s">
        <v>410</v>
      </c>
      <c r="E440" s="4">
        <f t="shared" si="6"/>
        <v>0</v>
      </c>
    </row>
    <row r="441" spans="1:5" x14ac:dyDescent="0.25">
      <c r="A441">
        <v>90401</v>
      </c>
      <c r="B441" s="2" t="s">
        <v>508</v>
      </c>
      <c r="C441" s="2" t="s">
        <v>425</v>
      </c>
      <c r="D441" s="2" t="s">
        <v>533</v>
      </c>
      <c r="E441" s="4">
        <f t="shared" si="6"/>
        <v>0</v>
      </c>
    </row>
    <row r="442" spans="1:5" x14ac:dyDescent="0.25">
      <c r="A442">
        <v>90402</v>
      </c>
      <c r="B442" s="2" t="s">
        <v>508</v>
      </c>
      <c r="C442" s="2" t="s">
        <v>425</v>
      </c>
      <c r="D442" s="2" t="s">
        <v>534</v>
      </c>
      <c r="E442" s="4">
        <f t="shared" si="6"/>
        <v>0</v>
      </c>
    </row>
    <row r="443" spans="1:5" x14ac:dyDescent="0.25">
      <c r="A443">
        <v>90403</v>
      </c>
      <c r="B443" s="2" t="s">
        <v>508</v>
      </c>
      <c r="C443" s="2" t="s">
        <v>425</v>
      </c>
      <c r="D443" s="2" t="s">
        <v>535</v>
      </c>
      <c r="E443" s="4">
        <f t="shared" si="6"/>
        <v>0</v>
      </c>
    </row>
    <row r="444" spans="1:5" x14ac:dyDescent="0.25">
      <c r="A444">
        <v>90404</v>
      </c>
      <c r="B444" s="2" t="s">
        <v>508</v>
      </c>
      <c r="C444" s="2" t="s">
        <v>425</v>
      </c>
      <c r="D444" s="2" t="s">
        <v>138</v>
      </c>
      <c r="E444" s="4">
        <f t="shared" si="6"/>
        <v>0</v>
      </c>
    </row>
    <row r="445" spans="1:5" x14ac:dyDescent="0.25">
      <c r="A445">
        <v>90405</v>
      </c>
      <c r="B445" s="2" t="s">
        <v>508</v>
      </c>
      <c r="C445" s="2" t="s">
        <v>425</v>
      </c>
      <c r="D445" s="2" t="s">
        <v>536</v>
      </c>
      <c r="E445" s="4">
        <f t="shared" si="6"/>
        <v>0</v>
      </c>
    </row>
    <row r="446" spans="1:5" x14ac:dyDescent="0.25">
      <c r="A446">
        <v>90406</v>
      </c>
      <c r="B446" s="2" t="s">
        <v>508</v>
      </c>
      <c r="C446" s="2" t="s">
        <v>425</v>
      </c>
      <c r="D446" s="2" t="s">
        <v>537</v>
      </c>
      <c r="E446" s="4">
        <f t="shared" si="6"/>
        <v>0</v>
      </c>
    </row>
    <row r="447" spans="1:5" x14ac:dyDescent="0.25">
      <c r="A447">
        <v>90501</v>
      </c>
      <c r="B447" s="2" t="s">
        <v>508</v>
      </c>
      <c r="C447" s="2" t="s">
        <v>426</v>
      </c>
      <c r="D447" s="2" t="s">
        <v>538</v>
      </c>
      <c r="E447" s="4">
        <f t="shared" si="6"/>
        <v>0</v>
      </c>
    </row>
    <row r="448" spans="1:5" x14ac:dyDescent="0.25">
      <c r="A448">
        <v>90502</v>
      </c>
      <c r="B448" s="2" t="s">
        <v>508</v>
      </c>
      <c r="C448" s="2" t="s">
        <v>426</v>
      </c>
      <c r="D448" s="2" t="s">
        <v>539</v>
      </c>
      <c r="E448" s="4">
        <f t="shared" si="6"/>
        <v>0</v>
      </c>
    </row>
    <row r="449" spans="1:5" x14ac:dyDescent="0.25">
      <c r="A449">
        <v>90503</v>
      </c>
      <c r="B449" s="2" t="s">
        <v>508</v>
      </c>
      <c r="C449" s="2" t="s">
        <v>426</v>
      </c>
      <c r="D449" s="2" t="s">
        <v>422</v>
      </c>
      <c r="E449" s="4">
        <f t="shared" si="6"/>
        <v>0</v>
      </c>
    </row>
    <row r="450" spans="1:5" x14ac:dyDescent="0.25">
      <c r="A450">
        <v>90504</v>
      </c>
      <c r="B450" s="2" t="s">
        <v>508</v>
      </c>
      <c r="C450" s="2" t="s">
        <v>426</v>
      </c>
      <c r="D450" s="2" t="s">
        <v>540</v>
      </c>
      <c r="E450" s="4">
        <f t="shared" si="6"/>
        <v>0</v>
      </c>
    </row>
    <row r="451" spans="1:5" x14ac:dyDescent="0.25">
      <c r="A451">
        <v>90505</v>
      </c>
      <c r="B451" s="2" t="s">
        <v>508</v>
      </c>
      <c r="C451" s="2" t="s">
        <v>426</v>
      </c>
      <c r="D451" s="2" t="s">
        <v>541</v>
      </c>
      <c r="E451" s="4">
        <f t="shared" si="6"/>
        <v>0</v>
      </c>
    </row>
    <row r="452" spans="1:5" x14ac:dyDescent="0.25">
      <c r="A452">
        <v>90506</v>
      </c>
      <c r="B452" s="2" t="s">
        <v>508</v>
      </c>
      <c r="C452" s="2" t="s">
        <v>426</v>
      </c>
      <c r="D452" s="2" t="s">
        <v>371</v>
      </c>
      <c r="E452" s="4">
        <f t="shared" si="6"/>
        <v>0</v>
      </c>
    </row>
    <row r="453" spans="1:5" x14ac:dyDescent="0.25">
      <c r="A453">
        <v>90507</v>
      </c>
      <c r="B453" s="2" t="s">
        <v>508</v>
      </c>
      <c r="C453" s="2" t="s">
        <v>426</v>
      </c>
      <c r="D453" s="2" t="s">
        <v>542</v>
      </c>
      <c r="E453" s="4">
        <f t="shared" ref="E453:E516" si="7">SUM(F453:AEZ453)</f>
        <v>0</v>
      </c>
    </row>
    <row r="454" spans="1:5" x14ac:dyDescent="0.25">
      <c r="A454">
        <v>90508</v>
      </c>
      <c r="B454" s="2" t="s">
        <v>508</v>
      </c>
      <c r="C454" s="2" t="s">
        <v>426</v>
      </c>
      <c r="D454" s="2" t="s">
        <v>543</v>
      </c>
      <c r="E454" s="4">
        <f t="shared" si="7"/>
        <v>0</v>
      </c>
    </row>
    <row r="455" spans="1:5" x14ac:dyDescent="0.25">
      <c r="A455">
        <v>90509</v>
      </c>
      <c r="B455" s="2" t="s">
        <v>508</v>
      </c>
      <c r="C455" s="2" t="s">
        <v>426</v>
      </c>
      <c r="D455" s="2" t="s">
        <v>544</v>
      </c>
      <c r="E455" s="4">
        <f t="shared" si="7"/>
        <v>0</v>
      </c>
    </row>
    <row r="456" spans="1:5" x14ac:dyDescent="0.25">
      <c r="A456">
        <v>90510</v>
      </c>
      <c r="B456" s="2" t="s">
        <v>508</v>
      </c>
      <c r="C456" s="2" t="s">
        <v>426</v>
      </c>
      <c r="D456" s="2" t="s">
        <v>545</v>
      </c>
      <c r="E456" s="4">
        <f t="shared" si="7"/>
        <v>0</v>
      </c>
    </row>
    <row r="457" spans="1:5" x14ac:dyDescent="0.25">
      <c r="A457">
        <v>90511</v>
      </c>
      <c r="B457" s="2" t="s">
        <v>508</v>
      </c>
      <c r="C457" s="2" t="s">
        <v>426</v>
      </c>
      <c r="D457" s="2" t="s">
        <v>546</v>
      </c>
      <c r="E457" s="4">
        <f t="shared" si="7"/>
        <v>0</v>
      </c>
    </row>
    <row r="458" spans="1:5" x14ac:dyDescent="0.25">
      <c r="A458">
        <v>90512</v>
      </c>
      <c r="B458" s="2" t="s">
        <v>508</v>
      </c>
      <c r="C458" s="2" t="s">
        <v>426</v>
      </c>
      <c r="D458" s="2" t="s">
        <v>547</v>
      </c>
      <c r="E458" s="4">
        <f t="shared" si="7"/>
        <v>0</v>
      </c>
    </row>
    <row r="459" spans="1:5" x14ac:dyDescent="0.25">
      <c r="A459">
        <v>90601</v>
      </c>
      <c r="B459" s="2" t="s">
        <v>508</v>
      </c>
      <c r="C459" s="2" t="s">
        <v>548</v>
      </c>
      <c r="D459" s="2" t="s">
        <v>549</v>
      </c>
      <c r="E459" s="4">
        <f t="shared" si="7"/>
        <v>0</v>
      </c>
    </row>
    <row r="460" spans="1:5" x14ac:dyDescent="0.25">
      <c r="A460">
        <v>90602</v>
      </c>
      <c r="B460" s="2" t="s">
        <v>508</v>
      </c>
      <c r="C460" s="2" t="s">
        <v>548</v>
      </c>
      <c r="D460" s="2" t="s">
        <v>550</v>
      </c>
      <c r="E460" s="4">
        <f t="shared" si="7"/>
        <v>0</v>
      </c>
    </row>
    <row r="461" spans="1:5" x14ac:dyDescent="0.25">
      <c r="A461">
        <v>90603</v>
      </c>
      <c r="B461" s="2" t="s">
        <v>508</v>
      </c>
      <c r="C461" s="2" t="s">
        <v>548</v>
      </c>
      <c r="D461" s="2" t="s">
        <v>551</v>
      </c>
      <c r="E461" s="4">
        <f t="shared" si="7"/>
        <v>0</v>
      </c>
    </row>
    <row r="462" spans="1:5" x14ac:dyDescent="0.25">
      <c r="A462">
        <v>90604</v>
      </c>
      <c r="B462" s="2" t="s">
        <v>508</v>
      </c>
      <c r="C462" s="2" t="s">
        <v>548</v>
      </c>
      <c r="D462" s="2" t="s">
        <v>333</v>
      </c>
      <c r="E462" s="4">
        <f t="shared" si="7"/>
        <v>0</v>
      </c>
    </row>
    <row r="463" spans="1:5" x14ac:dyDescent="0.25">
      <c r="A463">
        <v>90605</v>
      </c>
      <c r="B463" s="2" t="s">
        <v>508</v>
      </c>
      <c r="C463" s="2" t="s">
        <v>548</v>
      </c>
      <c r="D463" s="2" t="s">
        <v>552</v>
      </c>
      <c r="E463" s="4">
        <f t="shared" si="7"/>
        <v>0</v>
      </c>
    </row>
    <row r="464" spans="1:5" x14ac:dyDescent="0.25">
      <c r="A464">
        <v>90606</v>
      </c>
      <c r="B464" s="2" t="s">
        <v>508</v>
      </c>
      <c r="C464" s="2" t="s">
        <v>548</v>
      </c>
      <c r="D464" s="2" t="s">
        <v>553</v>
      </c>
      <c r="E464" s="4">
        <f t="shared" si="7"/>
        <v>0</v>
      </c>
    </row>
    <row r="465" spans="1:5" x14ac:dyDescent="0.25">
      <c r="A465">
        <v>90607</v>
      </c>
      <c r="B465" s="2" t="s">
        <v>508</v>
      </c>
      <c r="C465" s="2" t="s">
        <v>548</v>
      </c>
      <c r="D465" s="2" t="s">
        <v>554</v>
      </c>
      <c r="E465" s="4">
        <f t="shared" si="7"/>
        <v>0</v>
      </c>
    </row>
    <row r="466" spans="1:5" x14ac:dyDescent="0.25">
      <c r="A466">
        <v>90608</v>
      </c>
      <c r="B466" s="2" t="s">
        <v>508</v>
      </c>
      <c r="C466" s="2" t="s">
        <v>548</v>
      </c>
      <c r="D466" s="2" t="s">
        <v>555</v>
      </c>
      <c r="E466" s="4">
        <f t="shared" si="7"/>
        <v>0</v>
      </c>
    </row>
    <row r="467" spans="1:5" x14ac:dyDescent="0.25">
      <c r="A467">
        <v>90701</v>
      </c>
      <c r="B467" s="2" t="s">
        <v>508</v>
      </c>
      <c r="C467" s="2" t="s">
        <v>556</v>
      </c>
      <c r="D467" s="2" t="s">
        <v>557</v>
      </c>
      <c r="E467" s="4">
        <f t="shared" si="7"/>
        <v>0</v>
      </c>
    </row>
    <row r="468" spans="1:5" x14ac:dyDescent="0.25">
      <c r="A468">
        <v>90702</v>
      </c>
      <c r="B468" s="2" t="s">
        <v>508</v>
      </c>
      <c r="C468" s="2" t="s">
        <v>556</v>
      </c>
      <c r="D468" s="2" t="s">
        <v>146</v>
      </c>
      <c r="E468" s="4">
        <f t="shared" si="7"/>
        <v>0</v>
      </c>
    </row>
    <row r="469" spans="1:5" x14ac:dyDescent="0.25">
      <c r="A469">
        <v>90703</v>
      </c>
      <c r="B469" s="2" t="s">
        <v>508</v>
      </c>
      <c r="C469" s="2" t="s">
        <v>556</v>
      </c>
      <c r="D469" s="2" t="s">
        <v>354</v>
      </c>
      <c r="E469" s="4">
        <f t="shared" si="7"/>
        <v>0</v>
      </c>
    </row>
    <row r="470" spans="1:5" x14ac:dyDescent="0.25">
      <c r="A470">
        <v>90704</v>
      </c>
      <c r="B470" s="2" t="s">
        <v>508</v>
      </c>
      <c r="C470" s="2" t="s">
        <v>556</v>
      </c>
      <c r="D470" s="2" t="s">
        <v>558</v>
      </c>
      <c r="E470" s="4">
        <f t="shared" si="7"/>
        <v>0</v>
      </c>
    </row>
    <row r="471" spans="1:5" x14ac:dyDescent="0.25">
      <c r="A471">
        <v>90705</v>
      </c>
      <c r="B471" s="2" t="s">
        <v>508</v>
      </c>
      <c r="C471" s="2" t="s">
        <v>556</v>
      </c>
      <c r="D471" s="2" t="s">
        <v>559</v>
      </c>
      <c r="E471" s="4">
        <f t="shared" si="7"/>
        <v>0</v>
      </c>
    </row>
    <row r="472" spans="1:5" x14ac:dyDescent="0.25">
      <c r="A472">
        <v>90801</v>
      </c>
      <c r="B472" s="2" t="s">
        <v>508</v>
      </c>
      <c r="C472" s="2" t="s">
        <v>479</v>
      </c>
      <c r="D472" s="2" t="s">
        <v>560</v>
      </c>
      <c r="E472" s="4">
        <f t="shared" si="7"/>
        <v>0</v>
      </c>
    </row>
    <row r="473" spans="1:5" x14ac:dyDescent="0.25">
      <c r="A473">
        <v>90802</v>
      </c>
      <c r="B473" s="2" t="s">
        <v>508</v>
      </c>
      <c r="C473" s="2" t="s">
        <v>479</v>
      </c>
      <c r="D473" s="2" t="s">
        <v>561</v>
      </c>
      <c r="E473" s="4">
        <f t="shared" si="7"/>
        <v>0</v>
      </c>
    </row>
    <row r="474" spans="1:5" x14ac:dyDescent="0.25">
      <c r="A474">
        <v>90803</v>
      </c>
      <c r="B474" s="2" t="s">
        <v>508</v>
      </c>
      <c r="C474" s="2" t="s">
        <v>479</v>
      </c>
      <c r="D474" s="2" t="s">
        <v>562</v>
      </c>
      <c r="E474" s="4">
        <f t="shared" si="7"/>
        <v>0</v>
      </c>
    </row>
    <row r="475" spans="1:5" x14ac:dyDescent="0.25">
      <c r="A475">
        <v>90804</v>
      </c>
      <c r="B475" s="2" t="s">
        <v>508</v>
      </c>
      <c r="C475" s="2" t="s">
        <v>479</v>
      </c>
      <c r="D475" s="2" t="s">
        <v>563</v>
      </c>
      <c r="E475" s="4">
        <f t="shared" si="7"/>
        <v>0</v>
      </c>
    </row>
    <row r="476" spans="1:5" x14ac:dyDescent="0.25">
      <c r="A476">
        <v>90805</v>
      </c>
      <c r="B476" s="2" t="s">
        <v>508</v>
      </c>
      <c r="C476" s="2" t="s">
        <v>479</v>
      </c>
      <c r="D476" s="2" t="s">
        <v>176</v>
      </c>
      <c r="E476" s="4">
        <f t="shared" si="7"/>
        <v>0</v>
      </c>
    </row>
    <row r="477" spans="1:5" x14ac:dyDescent="0.25">
      <c r="A477">
        <v>90806</v>
      </c>
      <c r="B477" s="2" t="s">
        <v>508</v>
      </c>
      <c r="C477" s="2" t="s">
        <v>479</v>
      </c>
      <c r="D477" s="2" t="s">
        <v>402</v>
      </c>
      <c r="E477" s="4">
        <f t="shared" si="7"/>
        <v>0</v>
      </c>
    </row>
    <row r="478" spans="1:5" x14ac:dyDescent="0.25">
      <c r="A478">
        <v>90901</v>
      </c>
      <c r="B478" s="2" t="s">
        <v>508</v>
      </c>
      <c r="C478" s="2" t="s">
        <v>564</v>
      </c>
      <c r="D478" s="2" t="s">
        <v>565</v>
      </c>
      <c r="E478" s="4">
        <f t="shared" si="7"/>
        <v>0</v>
      </c>
    </row>
    <row r="479" spans="1:5" x14ac:dyDescent="0.25">
      <c r="A479">
        <v>90902</v>
      </c>
      <c r="B479" s="2" t="s">
        <v>508</v>
      </c>
      <c r="C479" s="2" t="s">
        <v>564</v>
      </c>
      <c r="D479" s="2" t="s">
        <v>566</v>
      </c>
      <c r="E479" s="4">
        <f t="shared" si="7"/>
        <v>0</v>
      </c>
    </row>
    <row r="480" spans="1:5" x14ac:dyDescent="0.25">
      <c r="A480">
        <v>90903</v>
      </c>
      <c r="B480" s="2" t="s">
        <v>508</v>
      </c>
      <c r="C480" s="2" t="s">
        <v>564</v>
      </c>
      <c r="D480" s="2" t="s">
        <v>567</v>
      </c>
      <c r="E480" s="4">
        <f t="shared" si="7"/>
        <v>0</v>
      </c>
    </row>
    <row r="481" spans="1:5" x14ac:dyDescent="0.25">
      <c r="A481">
        <v>90904</v>
      </c>
      <c r="B481" s="2" t="s">
        <v>508</v>
      </c>
      <c r="C481" s="2" t="s">
        <v>564</v>
      </c>
      <c r="D481" s="2" t="s">
        <v>568</v>
      </c>
      <c r="E481" s="4">
        <f t="shared" si="7"/>
        <v>0</v>
      </c>
    </row>
    <row r="482" spans="1:5" x14ac:dyDescent="0.25">
      <c r="A482">
        <v>90905</v>
      </c>
      <c r="B482" s="2" t="s">
        <v>508</v>
      </c>
      <c r="C482" s="2" t="s">
        <v>564</v>
      </c>
      <c r="D482" s="2" t="s">
        <v>569</v>
      </c>
      <c r="E482" s="4">
        <f t="shared" si="7"/>
        <v>0</v>
      </c>
    </row>
    <row r="483" spans="1:5" x14ac:dyDescent="0.25">
      <c r="A483">
        <v>90906</v>
      </c>
      <c r="B483" s="2" t="s">
        <v>508</v>
      </c>
      <c r="C483" s="2" t="s">
        <v>564</v>
      </c>
      <c r="D483" s="2" t="s">
        <v>570</v>
      </c>
      <c r="E483" s="4">
        <f t="shared" si="7"/>
        <v>0</v>
      </c>
    </row>
    <row r="484" spans="1:5" x14ac:dyDescent="0.25">
      <c r="A484">
        <v>90907</v>
      </c>
      <c r="B484" s="2" t="s">
        <v>508</v>
      </c>
      <c r="C484" s="2" t="s">
        <v>564</v>
      </c>
      <c r="D484" s="2" t="s">
        <v>571</v>
      </c>
      <c r="E484" s="4">
        <f t="shared" si="7"/>
        <v>0</v>
      </c>
    </row>
    <row r="485" spans="1:5" x14ac:dyDescent="0.25">
      <c r="A485">
        <v>90908</v>
      </c>
      <c r="B485" s="2" t="s">
        <v>508</v>
      </c>
      <c r="C485" s="2" t="s">
        <v>564</v>
      </c>
      <c r="D485" s="2" t="s">
        <v>572</v>
      </c>
      <c r="E485" s="4">
        <f t="shared" si="7"/>
        <v>0</v>
      </c>
    </row>
    <row r="486" spans="1:5" x14ac:dyDescent="0.25">
      <c r="A486">
        <v>91001</v>
      </c>
      <c r="B486" s="2" t="s">
        <v>508</v>
      </c>
      <c r="C486" s="2" t="s">
        <v>573</v>
      </c>
      <c r="D486" s="2" t="s">
        <v>574</v>
      </c>
      <c r="E486" s="4">
        <f t="shared" si="7"/>
        <v>0</v>
      </c>
    </row>
    <row r="487" spans="1:5" x14ac:dyDescent="0.25">
      <c r="A487">
        <v>91002</v>
      </c>
      <c r="B487" s="2" t="s">
        <v>508</v>
      </c>
      <c r="C487" s="2" t="s">
        <v>573</v>
      </c>
      <c r="D487" s="2" t="s">
        <v>408</v>
      </c>
      <c r="E487" s="4">
        <f t="shared" si="7"/>
        <v>0</v>
      </c>
    </row>
    <row r="488" spans="1:5" x14ac:dyDescent="0.25">
      <c r="A488">
        <v>91003</v>
      </c>
      <c r="B488" s="2" t="s">
        <v>508</v>
      </c>
      <c r="C488" s="2" t="s">
        <v>573</v>
      </c>
      <c r="D488" s="2" t="s">
        <v>575</v>
      </c>
      <c r="E488" s="4">
        <f t="shared" si="7"/>
        <v>0</v>
      </c>
    </row>
    <row r="489" spans="1:5" x14ac:dyDescent="0.25">
      <c r="A489">
        <v>91004</v>
      </c>
      <c r="B489" s="2" t="s">
        <v>508</v>
      </c>
      <c r="C489" s="2" t="s">
        <v>573</v>
      </c>
      <c r="D489" s="2" t="s">
        <v>576</v>
      </c>
      <c r="E489" s="4">
        <f t="shared" si="7"/>
        <v>0</v>
      </c>
    </row>
    <row r="490" spans="1:5" x14ac:dyDescent="0.25">
      <c r="A490">
        <v>91005</v>
      </c>
      <c r="B490" s="2" t="s">
        <v>508</v>
      </c>
      <c r="C490" s="2" t="s">
        <v>573</v>
      </c>
      <c r="D490" s="2" t="s">
        <v>577</v>
      </c>
      <c r="E490" s="4">
        <f t="shared" si="7"/>
        <v>0</v>
      </c>
    </row>
    <row r="491" spans="1:5" x14ac:dyDescent="0.25">
      <c r="A491">
        <v>91006</v>
      </c>
      <c r="B491" s="2" t="s">
        <v>508</v>
      </c>
      <c r="C491" s="2" t="s">
        <v>573</v>
      </c>
      <c r="D491" s="2" t="s">
        <v>578</v>
      </c>
      <c r="E491" s="4">
        <f t="shared" si="7"/>
        <v>0</v>
      </c>
    </row>
    <row r="492" spans="1:5" x14ac:dyDescent="0.25">
      <c r="A492">
        <v>91007</v>
      </c>
      <c r="B492" s="2" t="s">
        <v>508</v>
      </c>
      <c r="C492" s="2" t="s">
        <v>573</v>
      </c>
      <c r="D492" s="2" t="s">
        <v>579</v>
      </c>
      <c r="E492" s="4">
        <f t="shared" si="7"/>
        <v>0</v>
      </c>
    </row>
    <row r="493" spans="1:5" x14ac:dyDescent="0.25">
      <c r="A493">
        <v>91008</v>
      </c>
      <c r="B493" s="2" t="s">
        <v>508</v>
      </c>
      <c r="C493" s="2" t="s">
        <v>573</v>
      </c>
      <c r="D493" s="2" t="s">
        <v>263</v>
      </c>
      <c r="E493" s="4">
        <f t="shared" si="7"/>
        <v>0</v>
      </c>
    </row>
    <row r="494" spans="1:5" x14ac:dyDescent="0.25">
      <c r="A494">
        <v>91009</v>
      </c>
      <c r="B494" s="2" t="s">
        <v>508</v>
      </c>
      <c r="C494" s="2" t="s">
        <v>573</v>
      </c>
      <c r="D494" s="2" t="s">
        <v>580</v>
      </c>
      <c r="E494" s="4">
        <f t="shared" si="7"/>
        <v>0</v>
      </c>
    </row>
    <row r="495" spans="1:5" x14ac:dyDescent="0.25">
      <c r="A495">
        <v>91010</v>
      </c>
      <c r="B495" s="2" t="s">
        <v>508</v>
      </c>
      <c r="C495" s="2" t="s">
        <v>573</v>
      </c>
      <c r="D495" s="2" t="s">
        <v>581</v>
      </c>
      <c r="E495" s="4">
        <f t="shared" si="7"/>
        <v>0</v>
      </c>
    </row>
    <row r="496" spans="1:5" x14ac:dyDescent="0.25">
      <c r="A496">
        <v>91011</v>
      </c>
      <c r="B496" s="2" t="s">
        <v>508</v>
      </c>
      <c r="C496" s="2" t="s">
        <v>573</v>
      </c>
      <c r="D496" s="2" t="s">
        <v>545</v>
      </c>
      <c r="E496" s="4">
        <f t="shared" si="7"/>
        <v>0</v>
      </c>
    </row>
    <row r="497" spans="1:5" x14ac:dyDescent="0.25">
      <c r="A497">
        <v>91012</v>
      </c>
      <c r="B497" s="2" t="s">
        <v>508</v>
      </c>
      <c r="C497" s="2" t="s">
        <v>573</v>
      </c>
      <c r="D497" s="2" t="s">
        <v>582</v>
      </c>
      <c r="E497" s="4">
        <f t="shared" si="7"/>
        <v>0</v>
      </c>
    </row>
    <row r="498" spans="1:5" x14ac:dyDescent="0.25">
      <c r="A498">
        <v>91101</v>
      </c>
      <c r="B498" s="2" t="s">
        <v>508</v>
      </c>
      <c r="C498" s="2" t="s">
        <v>583</v>
      </c>
      <c r="D498" s="2" t="s">
        <v>584</v>
      </c>
      <c r="E498" s="4">
        <f t="shared" si="7"/>
        <v>0</v>
      </c>
    </row>
    <row r="499" spans="1:5" x14ac:dyDescent="0.25">
      <c r="A499">
        <v>91102</v>
      </c>
      <c r="B499" s="2" t="s">
        <v>508</v>
      </c>
      <c r="C499" s="2" t="s">
        <v>583</v>
      </c>
      <c r="D499" s="2" t="s">
        <v>420</v>
      </c>
      <c r="E499" s="4">
        <f t="shared" si="7"/>
        <v>0</v>
      </c>
    </row>
    <row r="500" spans="1:5" x14ac:dyDescent="0.25">
      <c r="A500">
        <v>91103</v>
      </c>
      <c r="B500" s="2" t="s">
        <v>508</v>
      </c>
      <c r="C500" s="2" t="s">
        <v>583</v>
      </c>
      <c r="D500" s="2" t="s">
        <v>585</v>
      </c>
      <c r="E500" s="4">
        <f t="shared" si="7"/>
        <v>0</v>
      </c>
    </row>
    <row r="501" spans="1:5" x14ac:dyDescent="0.25">
      <c r="A501">
        <v>91104</v>
      </c>
      <c r="B501" s="2" t="s">
        <v>508</v>
      </c>
      <c r="C501" s="2" t="s">
        <v>583</v>
      </c>
      <c r="D501" s="2" t="s">
        <v>586</v>
      </c>
      <c r="E501" s="4">
        <f t="shared" si="7"/>
        <v>0</v>
      </c>
    </row>
    <row r="502" spans="1:5" x14ac:dyDescent="0.25">
      <c r="A502">
        <v>91105</v>
      </c>
      <c r="B502" s="2" t="s">
        <v>508</v>
      </c>
      <c r="C502" s="2" t="s">
        <v>583</v>
      </c>
      <c r="D502" s="2" t="s">
        <v>587</v>
      </c>
      <c r="E502" s="4">
        <f t="shared" si="7"/>
        <v>0</v>
      </c>
    </row>
    <row r="503" spans="1:5" x14ac:dyDescent="0.25">
      <c r="A503">
        <v>91106</v>
      </c>
      <c r="B503" s="2" t="s">
        <v>508</v>
      </c>
      <c r="C503" s="2" t="s">
        <v>583</v>
      </c>
      <c r="D503" s="2" t="s">
        <v>210</v>
      </c>
      <c r="E503" s="4">
        <f t="shared" si="7"/>
        <v>0</v>
      </c>
    </row>
    <row r="504" spans="1:5" x14ac:dyDescent="0.25">
      <c r="A504">
        <v>91107</v>
      </c>
      <c r="B504" s="2" t="s">
        <v>508</v>
      </c>
      <c r="C504" s="2" t="s">
        <v>583</v>
      </c>
      <c r="D504" s="2" t="s">
        <v>588</v>
      </c>
      <c r="E504" s="4">
        <f t="shared" si="7"/>
        <v>0</v>
      </c>
    </row>
    <row r="505" spans="1:5" x14ac:dyDescent="0.25">
      <c r="A505">
        <v>91108</v>
      </c>
      <c r="B505" s="2" t="s">
        <v>508</v>
      </c>
      <c r="C505" s="2" t="s">
        <v>583</v>
      </c>
      <c r="D505" s="2" t="s">
        <v>589</v>
      </c>
      <c r="E505" s="4">
        <f t="shared" si="7"/>
        <v>0</v>
      </c>
    </row>
    <row r="506" spans="1:5" x14ac:dyDescent="0.25">
      <c r="A506">
        <v>91109</v>
      </c>
      <c r="B506" s="2" t="s">
        <v>508</v>
      </c>
      <c r="C506" s="2" t="s">
        <v>583</v>
      </c>
      <c r="D506" s="2" t="s">
        <v>160</v>
      </c>
      <c r="E506" s="4">
        <f t="shared" si="7"/>
        <v>0</v>
      </c>
    </row>
    <row r="507" spans="1:5" x14ac:dyDescent="0.25">
      <c r="A507">
        <v>91110</v>
      </c>
      <c r="B507" s="2" t="s">
        <v>508</v>
      </c>
      <c r="C507" s="2" t="s">
        <v>583</v>
      </c>
      <c r="D507" s="2" t="s">
        <v>590</v>
      </c>
      <c r="E507" s="4">
        <f t="shared" si="7"/>
        <v>0</v>
      </c>
    </row>
    <row r="508" spans="1:5" ht="24" x14ac:dyDescent="0.25">
      <c r="A508">
        <v>91201</v>
      </c>
      <c r="B508" s="2" t="s">
        <v>508</v>
      </c>
      <c r="C508" s="2" t="s">
        <v>591</v>
      </c>
      <c r="D508" s="2" t="s">
        <v>592</v>
      </c>
      <c r="E508" s="4">
        <f t="shared" si="7"/>
        <v>0</v>
      </c>
    </row>
    <row r="509" spans="1:5" x14ac:dyDescent="0.25">
      <c r="A509">
        <v>91202</v>
      </c>
      <c r="B509" s="2" t="s">
        <v>508</v>
      </c>
      <c r="C509" s="2" t="s">
        <v>591</v>
      </c>
      <c r="D509" s="2" t="s">
        <v>593</v>
      </c>
      <c r="E509" s="4">
        <f t="shared" si="7"/>
        <v>0</v>
      </c>
    </row>
    <row r="510" spans="1:5" x14ac:dyDescent="0.25">
      <c r="A510">
        <v>91203</v>
      </c>
      <c r="B510" s="2" t="s">
        <v>508</v>
      </c>
      <c r="C510" s="2" t="s">
        <v>591</v>
      </c>
      <c r="D510" s="2" t="s">
        <v>444</v>
      </c>
      <c r="E510" s="4">
        <f t="shared" si="7"/>
        <v>0</v>
      </c>
    </row>
    <row r="511" spans="1:5" x14ac:dyDescent="0.25">
      <c r="A511">
        <v>91204</v>
      </c>
      <c r="B511" s="2" t="s">
        <v>508</v>
      </c>
      <c r="C511" s="2" t="s">
        <v>591</v>
      </c>
      <c r="D511" s="2" t="s">
        <v>594</v>
      </c>
      <c r="E511" s="4">
        <f t="shared" si="7"/>
        <v>0</v>
      </c>
    </row>
    <row r="512" spans="1:5" x14ac:dyDescent="0.25">
      <c r="A512">
        <v>91205</v>
      </c>
      <c r="B512" s="2" t="s">
        <v>508</v>
      </c>
      <c r="C512" s="2" t="s">
        <v>591</v>
      </c>
      <c r="D512" s="2" t="s">
        <v>595</v>
      </c>
      <c r="E512" s="4">
        <f t="shared" si="7"/>
        <v>0</v>
      </c>
    </row>
    <row r="513" spans="1:5" ht="24" x14ac:dyDescent="0.25">
      <c r="A513">
        <v>100101</v>
      </c>
      <c r="B513" s="2" t="s">
        <v>596</v>
      </c>
      <c r="C513" s="2" t="s">
        <v>596</v>
      </c>
      <c r="D513" s="2" t="s">
        <v>597</v>
      </c>
      <c r="E513" s="4">
        <f t="shared" si="7"/>
        <v>0</v>
      </c>
    </row>
    <row r="514" spans="1:5" ht="24" x14ac:dyDescent="0.25">
      <c r="A514">
        <v>100102</v>
      </c>
      <c r="B514" s="2" t="s">
        <v>596</v>
      </c>
      <c r="C514" s="2" t="s">
        <v>596</v>
      </c>
      <c r="D514" s="2" t="s">
        <v>598</v>
      </c>
      <c r="E514" s="4">
        <f t="shared" si="7"/>
        <v>0</v>
      </c>
    </row>
    <row r="515" spans="1:5" ht="24" x14ac:dyDescent="0.25">
      <c r="A515">
        <v>100103</v>
      </c>
      <c r="B515" s="2" t="s">
        <v>596</v>
      </c>
      <c r="C515" s="2" t="s">
        <v>596</v>
      </c>
      <c r="D515" s="2" t="s">
        <v>599</v>
      </c>
      <c r="E515" s="4">
        <f t="shared" si="7"/>
        <v>0</v>
      </c>
    </row>
    <row r="516" spans="1:5" ht="24" x14ac:dyDescent="0.25">
      <c r="A516">
        <v>100104</v>
      </c>
      <c r="B516" s="2" t="s">
        <v>596</v>
      </c>
      <c r="C516" s="2" t="s">
        <v>596</v>
      </c>
      <c r="D516" s="2" t="s">
        <v>600</v>
      </c>
      <c r="E516" s="4">
        <f t="shared" si="7"/>
        <v>0</v>
      </c>
    </row>
    <row r="517" spans="1:5" ht="24" x14ac:dyDescent="0.25">
      <c r="A517">
        <v>110101</v>
      </c>
      <c r="B517" s="2" t="s">
        <v>601</v>
      </c>
      <c r="C517" s="2" t="s">
        <v>602</v>
      </c>
      <c r="D517" s="2" t="s">
        <v>603</v>
      </c>
      <c r="E517" s="4">
        <f t="shared" ref="E517:E580" si="8">SUM(F517:AEZ517)</f>
        <v>0</v>
      </c>
    </row>
    <row r="518" spans="1:5" ht="24" x14ac:dyDescent="0.25">
      <c r="A518">
        <v>110102</v>
      </c>
      <c r="B518" s="2" t="s">
        <v>601</v>
      </c>
      <c r="C518" s="2" t="s">
        <v>602</v>
      </c>
      <c r="D518" s="2" t="s">
        <v>604</v>
      </c>
      <c r="E518" s="4">
        <f t="shared" si="8"/>
        <v>0</v>
      </c>
    </row>
    <row r="519" spans="1:5" ht="24" x14ac:dyDescent="0.25">
      <c r="A519">
        <v>110103</v>
      </c>
      <c r="B519" s="2" t="s">
        <v>601</v>
      </c>
      <c r="C519" s="2" t="s">
        <v>602</v>
      </c>
      <c r="D519" s="2" t="s">
        <v>605</v>
      </c>
      <c r="E519" s="4">
        <f t="shared" si="8"/>
        <v>0</v>
      </c>
    </row>
    <row r="520" spans="1:5" ht="24" x14ac:dyDescent="0.25">
      <c r="A520">
        <v>110201</v>
      </c>
      <c r="B520" s="2" t="s">
        <v>601</v>
      </c>
      <c r="C520" s="2" t="s">
        <v>307</v>
      </c>
      <c r="D520" s="2" t="s">
        <v>606</v>
      </c>
      <c r="E520" s="4">
        <f t="shared" si="8"/>
        <v>0</v>
      </c>
    </row>
    <row r="521" spans="1:5" ht="24" x14ac:dyDescent="0.25">
      <c r="A521">
        <v>110202</v>
      </c>
      <c r="B521" s="2" t="s">
        <v>601</v>
      </c>
      <c r="C521" s="2" t="s">
        <v>307</v>
      </c>
      <c r="D521" s="2" t="s">
        <v>607</v>
      </c>
      <c r="E521" s="4">
        <f t="shared" si="8"/>
        <v>0</v>
      </c>
    </row>
    <row r="522" spans="1:5" ht="24" x14ac:dyDescent="0.25">
      <c r="A522">
        <v>120101</v>
      </c>
      <c r="B522" s="2" t="s">
        <v>608</v>
      </c>
      <c r="C522" s="2" t="s">
        <v>609</v>
      </c>
      <c r="D522" s="2" t="s">
        <v>610</v>
      </c>
      <c r="E522" s="4">
        <f t="shared" si="8"/>
        <v>0</v>
      </c>
    </row>
    <row r="523" spans="1:5" ht="24" x14ac:dyDescent="0.25">
      <c r="A523">
        <v>120102</v>
      </c>
      <c r="B523" s="2" t="s">
        <v>608</v>
      </c>
      <c r="C523" s="2" t="s">
        <v>609</v>
      </c>
      <c r="D523" s="2" t="s">
        <v>611</v>
      </c>
      <c r="E523" s="4">
        <f t="shared" si="8"/>
        <v>0</v>
      </c>
    </row>
    <row r="524" spans="1:5" ht="24" x14ac:dyDescent="0.25">
      <c r="A524">
        <v>120103</v>
      </c>
      <c r="B524" s="2" t="s">
        <v>608</v>
      </c>
      <c r="C524" s="2" t="s">
        <v>609</v>
      </c>
      <c r="D524" s="2" t="s">
        <v>612</v>
      </c>
      <c r="E524" s="4">
        <f t="shared" si="8"/>
        <v>0</v>
      </c>
    </row>
    <row r="525" spans="1:5" ht="24" x14ac:dyDescent="0.25">
      <c r="A525">
        <v>120104</v>
      </c>
      <c r="B525" s="2" t="s">
        <v>608</v>
      </c>
      <c r="C525" s="2" t="s">
        <v>609</v>
      </c>
      <c r="D525" s="2" t="s">
        <v>613</v>
      </c>
      <c r="E525" s="4">
        <f t="shared" si="8"/>
        <v>0</v>
      </c>
    </row>
    <row r="526" spans="1:5" ht="24" x14ac:dyDescent="0.25">
      <c r="A526">
        <v>120105</v>
      </c>
      <c r="B526" s="2" t="s">
        <v>608</v>
      </c>
      <c r="C526" s="2" t="s">
        <v>609</v>
      </c>
      <c r="D526" s="2" t="s">
        <v>614</v>
      </c>
      <c r="E526" s="4">
        <f t="shared" si="8"/>
        <v>0</v>
      </c>
    </row>
    <row r="527" spans="1:5" ht="24" x14ac:dyDescent="0.25">
      <c r="A527">
        <v>120106</v>
      </c>
      <c r="B527" s="2" t="s">
        <v>608</v>
      </c>
      <c r="C527" s="2" t="s">
        <v>609</v>
      </c>
      <c r="D527" s="2" t="s">
        <v>615</v>
      </c>
      <c r="E527" s="4">
        <f t="shared" si="8"/>
        <v>0</v>
      </c>
    </row>
    <row r="528" spans="1:5" ht="24" x14ac:dyDescent="0.25">
      <c r="A528">
        <v>120107</v>
      </c>
      <c r="B528" s="2" t="s">
        <v>608</v>
      </c>
      <c r="C528" s="2" t="s">
        <v>609</v>
      </c>
      <c r="D528" s="2" t="s">
        <v>616</v>
      </c>
      <c r="E528" s="4">
        <f t="shared" si="8"/>
        <v>0</v>
      </c>
    </row>
    <row r="529" spans="1:5" ht="24" x14ac:dyDescent="0.25">
      <c r="A529">
        <v>120108</v>
      </c>
      <c r="B529" s="2" t="s">
        <v>608</v>
      </c>
      <c r="C529" s="2" t="s">
        <v>609</v>
      </c>
      <c r="D529" s="2" t="s">
        <v>617</v>
      </c>
      <c r="E529" s="4">
        <f t="shared" si="8"/>
        <v>0</v>
      </c>
    </row>
    <row r="530" spans="1:5" ht="24" x14ac:dyDescent="0.25">
      <c r="A530">
        <v>120201</v>
      </c>
      <c r="B530" s="2" t="s">
        <v>608</v>
      </c>
      <c r="C530" s="2" t="s">
        <v>618</v>
      </c>
      <c r="D530" s="2" t="s">
        <v>619</v>
      </c>
      <c r="E530" s="4">
        <f t="shared" si="8"/>
        <v>0</v>
      </c>
    </row>
    <row r="531" spans="1:5" ht="24" x14ac:dyDescent="0.25">
      <c r="A531">
        <v>120202</v>
      </c>
      <c r="B531" s="2" t="s">
        <v>608</v>
      </c>
      <c r="C531" s="2" t="s">
        <v>618</v>
      </c>
      <c r="D531" s="2" t="s">
        <v>620</v>
      </c>
      <c r="E531" s="4">
        <f t="shared" si="8"/>
        <v>0</v>
      </c>
    </row>
    <row r="532" spans="1:5" ht="24" x14ac:dyDescent="0.25">
      <c r="A532">
        <v>120203</v>
      </c>
      <c r="B532" s="2" t="s">
        <v>608</v>
      </c>
      <c r="C532" s="2" t="s">
        <v>618</v>
      </c>
      <c r="D532" s="2" t="s">
        <v>621</v>
      </c>
      <c r="E532" s="4">
        <f t="shared" si="8"/>
        <v>0</v>
      </c>
    </row>
    <row r="533" spans="1:5" ht="24" x14ac:dyDescent="0.25">
      <c r="A533">
        <v>120204</v>
      </c>
      <c r="B533" s="2" t="s">
        <v>608</v>
      </c>
      <c r="C533" s="2" t="s">
        <v>618</v>
      </c>
      <c r="D533" s="2" t="s">
        <v>622</v>
      </c>
      <c r="E533" s="4">
        <f t="shared" si="8"/>
        <v>0</v>
      </c>
    </row>
    <row r="534" spans="1:5" ht="24" x14ac:dyDescent="0.25">
      <c r="A534">
        <v>120205</v>
      </c>
      <c r="B534" s="2" t="s">
        <v>608</v>
      </c>
      <c r="C534" s="2" t="s">
        <v>618</v>
      </c>
      <c r="D534" s="2" t="s">
        <v>623</v>
      </c>
      <c r="E534" s="4">
        <f t="shared" si="8"/>
        <v>0</v>
      </c>
    </row>
    <row r="535" spans="1:5" ht="24" x14ac:dyDescent="0.25">
      <c r="A535">
        <v>120206</v>
      </c>
      <c r="B535" s="2" t="s">
        <v>608</v>
      </c>
      <c r="C535" s="2" t="s">
        <v>618</v>
      </c>
      <c r="D535" s="2" t="s">
        <v>624</v>
      </c>
      <c r="E535" s="4">
        <f t="shared" si="8"/>
        <v>0</v>
      </c>
    </row>
    <row r="536" spans="1:5" ht="24" x14ac:dyDescent="0.25">
      <c r="A536">
        <v>120207</v>
      </c>
      <c r="B536" s="2" t="s">
        <v>608</v>
      </c>
      <c r="C536" s="2" t="s">
        <v>618</v>
      </c>
      <c r="D536" s="2" t="s">
        <v>625</v>
      </c>
      <c r="E536" s="4">
        <f t="shared" si="8"/>
        <v>0</v>
      </c>
    </row>
    <row r="537" spans="1:5" ht="24" x14ac:dyDescent="0.25">
      <c r="A537">
        <v>120208</v>
      </c>
      <c r="B537" s="2" t="s">
        <v>608</v>
      </c>
      <c r="C537" s="2" t="s">
        <v>618</v>
      </c>
      <c r="D537" s="2" t="s">
        <v>626</v>
      </c>
      <c r="E537" s="4">
        <f t="shared" si="8"/>
        <v>0</v>
      </c>
    </row>
    <row r="538" spans="1:5" ht="24" x14ac:dyDescent="0.25">
      <c r="A538">
        <v>120301</v>
      </c>
      <c r="B538" s="2" t="s">
        <v>608</v>
      </c>
      <c r="C538" s="2" t="s">
        <v>627</v>
      </c>
      <c r="D538" s="2" t="s">
        <v>628</v>
      </c>
      <c r="E538" s="4">
        <f t="shared" si="8"/>
        <v>0</v>
      </c>
    </row>
    <row r="539" spans="1:5" ht="24" x14ac:dyDescent="0.25">
      <c r="A539">
        <v>120302</v>
      </c>
      <c r="B539" s="2" t="s">
        <v>608</v>
      </c>
      <c r="C539" s="2" t="s">
        <v>627</v>
      </c>
      <c r="D539" s="2" t="s">
        <v>629</v>
      </c>
      <c r="E539" s="4">
        <f t="shared" si="8"/>
        <v>0</v>
      </c>
    </row>
    <row r="540" spans="1:5" ht="24" x14ac:dyDescent="0.25">
      <c r="A540">
        <v>120303</v>
      </c>
      <c r="B540" s="2" t="s">
        <v>608</v>
      </c>
      <c r="C540" s="2" t="s">
        <v>627</v>
      </c>
      <c r="D540" s="2" t="s">
        <v>630</v>
      </c>
      <c r="E540" s="4">
        <f t="shared" si="8"/>
        <v>0</v>
      </c>
    </row>
    <row r="541" spans="1:5" ht="24" x14ac:dyDescent="0.25">
      <c r="A541">
        <v>120304</v>
      </c>
      <c r="B541" s="2" t="s">
        <v>608</v>
      </c>
      <c r="C541" s="2" t="s">
        <v>627</v>
      </c>
      <c r="D541" s="2" t="s">
        <v>631</v>
      </c>
      <c r="E541" s="4">
        <f t="shared" si="8"/>
        <v>0</v>
      </c>
    </row>
    <row r="542" spans="1:5" ht="24" x14ac:dyDescent="0.25">
      <c r="A542">
        <v>120305</v>
      </c>
      <c r="B542" s="2" t="s">
        <v>608</v>
      </c>
      <c r="C542" s="2" t="s">
        <v>627</v>
      </c>
      <c r="D542" s="2" t="s">
        <v>632</v>
      </c>
      <c r="E542" s="4">
        <f t="shared" si="8"/>
        <v>0</v>
      </c>
    </row>
    <row r="543" spans="1:5" ht="24" x14ac:dyDescent="0.25">
      <c r="A543">
        <v>120306</v>
      </c>
      <c r="B543" s="2" t="s">
        <v>608</v>
      </c>
      <c r="C543" s="2" t="s">
        <v>627</v>
      </c>
      <c r="D543" s="2" t="s">
        <v>633</v>
      </c>
      <c r="E543" s="4">
        <f t="shared" si="8"/>
        <v>0</v>
      </c>
    </row>
    <row r="544" spans="1:5" ht="24" x14ac:dyDescent="0.25">
      <c r="A544">
        <v>120307</v>
      </c>
      <c r="B544" s="2" t="s">
        <v>608</v>
      </c>
      <c r="C544" s="2" t="s">
        <v>627</v>
      </c>
      <c r="D544" s="2" t="s">
        <v>634</v>
      </c>
      <c r="E544" s="4">
        <f t="shared" si="8"/>
        <v>0</v>
      </c>
    </row>
    <row r="545" spans="1:5" ht="24" x14ac:dyDescent="0.25">
      <c r="A545">
        <v>120308</v>
      </c>
      <c r="B545" s="2" t="s">
        <v>608</v>
      </c>
      <c r="C545" s="2" t="s">
        <v>627</v>
      </c>
      <c r="D545" s="2" t="s">
        <v>635</v>
      </c>
      <c r="E545" s="4">
        <f t="shared" si="8"/>
        <v>0</v>
      </c>
    </row>
    <row r="546" spans="1:5" ht="24" x14ac:dyDescent="0.25">
      <c r="A546">
        <v>120309</v>
      </c>
      <c r="B546" s="2" t="s">
        <v>608</v>
      </c>
      <c r="C546" s="2" t="s">
        <v>627</v>
      </c>
      <c r="D546" s="2" t="s">
        <v>400</v>
      </c>
      <c r="E546" s="4">
        <f t="shared" si="8"/>
        <v>0</v>
      </c>
    </row>
    <row r="547" spans="1:5" ht="24" x14ac:dyDescent="0.25">
      <c r="A547">
        <v>120310</v>
      </c>
      <c r="B547" s="2" t="s">
        <v>608</v>
      </c>
      <c r="C547" s="2" t="s">
        <v>627</v>
      </c>
      <c r="D547" s="2" t="s">
        <v>636</v>
      </c>
      <c r="E547" s="4">
        <f t="shared" si="8"/>
        <v>0</v>
      </c>
    </row>
    <row r="548" spans="1:5" ht="24" x14ac:dyDescent="0.25">
      <c r="A548">
        <v>120311</v>
      </c>
      <c r="B548" s="2" t="s">
        <v>608</v>
      </c>
      <c r="C548" s="2" t="s">
        <v>627</v>
      </c>
      <c r="D548" s="2" t="s">
        <v>637</v>
      </c>
      <c r="E548" s="4">
        <f t="shared" si="8"/>
        <v>0</v>
      </c>
    </row>
    <row r="549" spans="1:5" ht="24" x14ac:dyDescent="0.25">
      <c r="A549">
        <v>120312</v>
      </c>
      <c r="B549" s="2" t="s">
        <v>608</v>
      </c>
      <c r="C549" s="2" t="s">
        <v>627</v>
      </c>
      <c r="D549" s="2" t="s">
        <v>638</v>
      </c>
      <c r="E549" s="4">
        <f t="shared" si="8"/>
        <v>0</v>
      </c>
    </row>
    <row r="550" spans="1:5" ht="24" x14ac:dyDescent="0.25">
      <c r="A550">
        <v>120401</v>
      </c>
      <c r="B550" s="2" t="s">
        <v>608</v>
      </c>
      <c r="C550" s="2" t="s">
        <v>639</v>
      </c>
      <c r="D550" s="2" t="s">
        <v>640</v>
      </c>
      <c r="E550" s="4">
        <f t="shared" si="8"/>
        <v>0</v>
      </c>
    </row>
    <row r="551" spans="1:5" ht="24" x14ac:dyDescent="0.25">
      <c r="A551">
        <v>120402</v>
      </c>
      <c r="B551" s="2" t="s">
        <v>608</v>
      </c>
      <c r="C551" s="2" t="s">
        <v>639</v>
      </c>
      <c r="D551" s="2" t="s">
        <v>641</v>
      </c>
      <c r="E551" s="4">
        <f t="shared" si="8"/>
        <v>0</v>
      </c>
    </row>
    <row r="552" spans="1:5" ht="24" x14ac:dyDescent="0.25">
      <c r="A552">
        <v>120403</v>
      </c>
      <c r="B552" s="2" t="s">
        <v>608</v>
      </c>
      <c r="C552" s="2" t="s">
        <v>639</v>
      </c>
      <c r="D552" s="2" t="s">
        <v>642</v>
      </c>
      <c r="E552" s="4">
        <f t="shared" si="8"/>
        <v>0</v>
      </c>
    </row>
    <row r="553" spans="1:5" ht="24" x14ac:dyDescent="0.25">
      <c r="A553">
        <v>120404</v>
      </c>
      <c r="B553" s="2" t="s">
        <v>608</v>
      </c>
      <c r="C553" s="2" t="s">
        <v>639</v>
      </c>
      <c r="D553" s="2" t="s">
        <v>643</v>
      </c>
      <c r="E553" s="4">
        <f t="shared" si="8"/>
        <v>0</v>
      </c>
    </row>
    <row r="554" spans="1:5" ht="24" x14ac:dyDescent="0.25">
      <c r="A554">
        <v>120405</v>
      </c>
      <c r="B554" s="2" t="s">
        <v>608</v>
      </c>
      <c r="C554" s="2" t="s">
        <v>639</v>
      </c>
      <c r="D554" s="2" t="s">
        <v>644</v>
      </c>
      <c r="E554" s="4">
        <f t="shared" si="8"/>
        <v>0</v>
      </c>
    </row>
    <row r="555" spans="1:5" ht="24" x14ac:dyDescent="0.25">
      <c r="A555">
        <v>120501</v>
      </c>
      <c r="B555" s="2" t="s">
        <v>608</v>
      </c>
      <c r="C555" s="2" t="s">
        <v>645</v>
      </c>
      <c r="D555" s="2" t="s">
        <v>646</v>
      </c>
      <c r="E555" s="4">
        <f t="shared" si="8"/>
        <v>0</v>
      </c>
    </row>
    <row r="556" spans="1:5" ht="24" x14ac:dyDescent="0.25">
      <c r="A556">
        <v>120502</v>
      </c>
      <c r="B556" s="2" t="s">
        <v>608</v>
      </c>
      <c r="C556" s="2" t="s">
        <v>645</v>
      </c>
      <c r="D556" s="2" t="s">
        <v>647</v>
      </c>
      <c r="E556" s="4">
        <f t="shared" si="8"/>
        <v>0</v>
      </c>
    </row>
    <row r="557" spans="1:5" ht="24" x14ac:dyDescent="0.25">
      <c r="A557">
        <v>120503</v>
      </c>
      <c r="B557" s="2" t="s">
        <v>608</v>
      </c>
      <c r="C557" s="2" t="s">
        <v>645</v>
      </c>
      <c r="D557" s="2" t="s">
        <v>648</v>
      </c>
      <c r="E557" s="4">
        <f t="shared" si="8"/>
        <v>0</v>
      </c>
    </row>
    <row r="558" spans="1:5" ht="24" x14ac:dyDescent="0.25">
      <c r="A558">
        <v>120504</v>
      </c>
      <c r="B558" s="2" t="s">
        <v>608</v>
      </c>
      <c r="C558" s="2" t="s">
        <v>645</v>
      </c>
      <c r="D558" s="2" t="s">
        <v>649</v>
      </c>
      <c r="E558" s="4">
        <f t="shared" si="8"/>
        <v>0</v>
      </c>
    </row>
    <row r="559" spans="1:5" ht="24" x14ac:dyDescent="0.25">
      <c r="A559">
        <v>120505</v>
      </c>
      <c r="B559" s="2" t="s">
        <v>608</v>
      </c>
      <c r="C559" s="2" t="s">
        <v>645</v>
      </c>
      <c r="D559" s="2" t="s">
        <v>650</v>
      </c>
      <c r="E559" s="4">
        <f t="shared" si="8"/>
        <v>0</v>
      </c>
    </row>
    <row r="560" spans="1:5" ht="24" x14ac:dyDescent="0.25">
      <c r="A560">
        <v>120506</v>
      </c>
      <c r="B560" s="2" t="s">
        <v>608</v>
      </c>
      <c r="C560" s="2" t="s">
        <v>645</v>
      </c>
      <c r="D560" s="2" t="s">
        <v>651</v>
      </c>
      <c r="E560" s="4">
        <f t="shared" si="8"/>
        <v>0</v>
      </c>
    </row>
    <row r="561" spans="1:5" ht="24" x14ac:dyDescent="0.25">
      <c r="A561">
        <v>120507</v>
      </c>
      <c r="B561" s="2" t="s">
        <v>608</v>
      </c>
      <c r="C561" s="2" t="s">
        <v>645</v>
      </c>
      <c r="D561" s="2" t="s">
        <v>652</v>
      </c>
      <c r="E561" s="4">
        <f t="shared" si="8"/>
        <v>0</v>
      </c>
    </row>
    <row r="562" spans="1:5" ht="24" x14ac:dyDescent="0.25">
      <c r="A562">
        <v>120508</v>
      </c>
      <c r="B562" s="2" t="s">
        <v>608</v>
      </c>
      <c r="C562" s="2" t="s">
        <v>645</v>
      </c>
      <c r="D562" s="2" t="s">
        <v>653</v>
      </c>
      <c r="E562" s="4">
        <f t="shared" si="8"/>
        <v>0</v>
      </c>
    </row>
    <row r="563" spans="1:5" ht="24" x14ac:dyDescent="0.25">
      <c r="A563">
        <v>120509</v>
      </c>
      <c r="B563" s="2" t="s">
        <v>608</v>
      </c>
      <c r="C563" s="2" t="s">
        <v>645</v>
      </c>
      <c r="D563" s="2" t="s">
        <v>654</v>
      </c>
      <c r="E563" s="4">
        <f t="shared" si="8"/>
        <v>0</v>
      </c>
    </row>
    <row r="564" spans="1:5" ht="24" x14ac:dyDescent="0.25">
      <c r="A564">
        <v>120601</v>
      </c>
      <c r="B564" s="2" t="s">
        <v>608</v>
      </c>
      <c r="C564" s="2" t="s">
        <v>655</v>
      </c>
      <c r="D564" s="2" t="s">
        <v>656</v>
      </c>
      <c r="E564" s="4">
        <f t="shared" si="8"/>
        <v>0</v>
      </c>
    </row>
    <row r="565" spans="1:5" ht="24" x14ac:dyDescent="0.25">
      <c r="A565">
        <v>120604</v>
      </c>
      <c r="B565" s="2" t="s">
        <v>608</v>
      </c>
      <c r="C565" s="2" t="s">
        <v>655</v>
      </c>
      <c r="D565" s="2" t="s">
        <v>657</v>
      </c>
      <c r="E565" s="4">
        <f t="shared" si="8"/>
        <v>0</v>
      </c>
    </row>
    <row r="566" spans="1:5" ht="24" x14ac:dyDescent="0.25">
      <c r="A566">
        <v>120605</v>
      </c>
      <c r="B566" s="2" t="s">
        <v>608</v>
      </c>
      <c r="C566" s="2" t="s">
        <v>655</v>
      </c>
      <c r="D566" s="2" t="s">
        <v>655</v>
      </c>
      <c r="E566" s="4">
        <f t="shared" si="8"/>
        <v>0</v>
      </c>
    </row>
    <row r="567" spans="1:5" ht="24" x14ac:dyDescent="0.25">
      <c r="A567">
        <v>120606</v>
      </c>
      <c r="B567" s="2" t="s">
        <v>608</v>
      </c>
      <c r="C567" s="2" t="s">
        <v>655</v>
      </c>
      <c r="D567" s="2" t="s">
        <v>658</v>
      </c>
      <c r="E567" s="4">
        <f t="shared" si="8"/>
        <v>0</v>
      </c>
    </row>
    <row r="568" spans="1:5" ht="24" x14ac:dyDescent="0.25">
      <c r="A568">
        <v>120607</v>
      </c>
      <c r="B568" s="2" t="s">
        <v>608</v>
      </c>
      <c r="C568" s="2" t="s">
        <v>655</v>
      </c>
      <c r="D568" s="2" t="s">
        <v>659</v>
      </c>
      <c r="E568" s="4">
        <f t="shared" si="8"/>
        <v>0</v>
      </c>
    </row>
    <row r="569" spans="1:5" ht="24" x14ac:dyDescent="0.25">
      <c r="A569">
        <v>120701</v>
      </c>
      <c r="B569" s="2" t="s">
        <v>608</v>
      </c>
      <c r="C569" s="2" t="s">
        <v>660</v>
      </c>
      <c r="D569" s="2" t="s">
        <v>660</v>
      </c>
      <c r="E569" s="4">
        <f t="shared" si="8"/>
        <v>0</v>
      </c>
    </row>
    <row r="570" spans="1:5" ht="24" x14ac:dyDescent="0.25">
      <c r="A570">
        <v>120702</v>
      </c>
      <c r="B570" s="2" t="s">
        <v>608</v>
      </c>
      <c r="C570" s="2" t="s">
        <v>660</v>
      </c>
      <c r="D570" s="2" t="s">
        <v>661</v>
      </c>
      <c r="E570" s="4">
        <f t="shared" si="8"/>
        <v>0</v>
      </c>
    </row>
    <row r="571" spans="1:5" ht="24" x14ac:dyDescent="0.25">
      <c r="A571">
        <v>120705</v>
      </c>
      <c r="B571" s="2" t="s">
        <v>608</v>
      </c>
      <c r="C571" s="2" t="s">
        <v>660</v>
      </c>
      <c r="D571" s="2" t="s">
        <v>662</v>
      </c>
      <c r="E571" s="4">
        <f t="shared" si="8"/>
        <v>0</v>
      </c>
    </row>
    <row r="572" spans="1:5" ht="24" x14ac:dyDescent="0.25">
      <c r="A572">
        <v>120706</v>
      </c>
      <c r="B572" s="2" t="s">
        <v>608</v>
      </c>
      <c r="C572" s="2" t="s">
        <v>660</v>
      </c>
      <c r="D572" s="2" t="s">
        <v>663</v>
      </c>
      <c r="E572" s="4">
        <f t="shared" si="8"/>
        <v>0</v>
      </c>
    </row>
    <row r="573" spans="1:5" x14ac:dyDescent="0.25">
      <c r="A573">
        <v>10213</v>
      </c>
      <c r="B573" s="2" t="s">
        <v>92</v>
      </c>
      <c r="C573" s="2" t="s">
        <v>100</v>
      </c>
      <c r="D573" s="2" t="s">
        <v>664</v>
      </c>
      <c r="E573" s="4">
        <f t="shared" si="8"/>
        <v>0</v>
      </c>
    </row>
    <row r="574" spans="1:5" x14ac:dyDescent="0.25">
      <c r="A574">
        <v>10214</v>
      </c>
      <c r="B574" s="2" t="s">
        <v>92</v>
      </c>
      <c r="C574" s="2" t="s">
        <v>100</v>
      </c>
      <c r="D574" s="2" t="s">
        <v>665</v>
      </c>
      <c r="E574" s="4">
        <f t="shared" si="8"/>
        <v>0</v>
      </c>
    </row>
    <row r="575" spans="1:5" x14ac:dyDescent="0.25">
      <c r="A575">
        <v>10215</v>
      </c>
      <c r="B575" s="2" t="s">
        <v>92</v>
      </c>
      <c r="C575" s="2" t="s">
        <v>100</v>
      </c>
      <c r="D575" s="2" t="s">
        <v>666</v>
      </c>
      <c r="E575" s="4">
        <f t="shared" si="8"/>
        <v>0</v>
      </c>
    </row>
    <row r="576" spans="1:5" x14ac:dyDescent="0.25">
      <c r="A576">
        <v>10216</v>
      </c>
      <c r="B576" s="2" t="s">
        <v>92</v>
      </c>
      <c r="C576" s="2" t="s">
        <v>100</v>
      </c>
      <c r="D576" s="2" t="s">
        <v>667</v>
      </c>
      <c r="E576" s="4">
        <f t="shared" si="8"/>
        <v>0</v>
      </c>
    </row>
    <row r="577" spans="1:5" x14ac:dyDescent="0.25">
      <c r="A577">
        <v>10217</v>
      </c>
      <c r="B577" s="2" t="s">
        <v>92</v>
      </c>
      <c r="C577" s="2" t="s">
        <v>100</v>
      </c>
      <c r="D577" s="2" t="s">
        <v>668</v>
      </c>
      <c r="E577" s="4">
        <f t="shared" si="8"/>
        <v>0</v>
      </c>
    </row>
    <row r="578" spans="1:5" x14ac:dyDescent="0.25">
      <c r="A578">
        <v>10401</v>
      </c>
      <c r="B578" s="2" t="s">
        <v>92</v>
      </c>
      <c r="C578" s="2" t="s">
        <v>98</v>
      </c>
      <c r="D578" s="2" t="s">
        <v>669</v>
      </c>
      <c r="E578" s="4">
        <f t="shared" si="8"/>
        <v>0</v>
      </c>
    </row>
    <row r="579" spans="1:5" x14ac:dyDescent="0.25">
      <c r="A579">
        <v>10402</v>
      </c>
      <c r="B579" s="2" t="s">
        <v>92</v>
      </c>
      <c r="C579" s="2" t="s">
        <v>98</v>
      </c>
      <c r="D579" s="2" t="s">
        <v>670</v>
      </c>
      <c r="E579" s="4">
        <f t="shared" si="8"/>
        <v>0</v>
      </c>
    </row>
    <row r="580" spans="1:5" x14ac:dyDescent="0.25">
      <c r="A580">
        <v>10404</v>
      </c>
      <c r="B580" s="2" t="s">
        <v>92</v>
      </c>
      <c r="C580" s="2" t="s">
        <v>98</v>
      </c>
      <c r="D580" s="2" t="s">
        <v>671</v>
      </c>
      <c r="E580" s="4">
        <f t="shared" si="8"/>
        <v>0</v>
      </c>
    </row>
    <row r="581" spans="1:5" x14ac:dyDescent="0.25">
      <c r="A581">
        <v>10405</v>
      </c>
      <c r="B581" s="2" t="s">
        <v>92</v>
      </c>
      <c r="C581" s="2" t="s">
        <v>98</v>
      </c>
      <c r="D581" s="2" t="s">
        <v>672</v>
      </c>
      <c r="E581" s="4">
        <f t="shared" ref="E581:E644" si="9">SUM(F581:AEZ581)</f>
        <v>0</v>
      </c>
    </row>
    <row r="582" spans="1:5" x14ac:dyDescent="0.25">
      <c r="A582">
        <v>10406</v>
      </c>
      <c r="B582" s="2" t="s">
        <v>92</v>
      </c>
      <c r="C582" s="2" t="s">
        <v>98</v>
      </c>
      <c r="D582" s="2" t="s">
        <v>673</v>
      </c>
      <c r="E582" s="4">
        <f t="shared" si="9"/>
        <v>0</v>
      </c>
    </row>
    <row r="583" spans="1:5" x14ac:dyDescent="0.25">
      <c r="A583">
        <v>10403</v>
      </c>
      <c r="B583" s="2" t="s">
        <v>92</v>
      </c>
      <c r="C583" s="2" t="s">
        <v>98</v>
      </c>
      <c r="D583" s="2" t="s">
        <v>99</v>
      </c>
      <c r="E583" s="4">
        <f t="shared" si="9"/>
        <v>0</v>
      </c>
    </row>
    <row r="584" spans="1:5" x14ac:dyDescent="0.25">
      <c r="A584">
        <v>10403</v>
      </c>
      <c r="B584" s="2" t="s">
        <v>92</v>
      </c>
      <c r="C584" s="2" t="s">
        <v>98</v>
      </c>
      <c r="D584" s="2" t="s">
        <v>674</v>
      </c>
      <c r="E584" s="4">
        <f t="shared" si="9"/>
        <v>0</v>
      </c>
    </row>
    <row r="585" spans="1:5" x14ac:dyDescent="0.25">
      <c r="A585">
        <v>20106</v>
      </c>
      <c r="B585" s="2" t="s">
        <v>116</v>
      </c>
      <c r="C585" s="2" t="s">
        <v>117</v>
      </c>
      <c r="D585" s="2" t="s">
        <v>675</v>
      </c>
      <c r="E585" s="4">
        <f t="shared" si="9"/>
        <v>0</v>
      </c>
    </row>
    <row r="586" spans="1:5" x14ac:dyDescent="0.25">
      <c r="A586">
        <v>20107</v>
      </c>
      <c r="B586" s="2" t="s">
        <v>116</v>
      </c>
      <c r="C586" s="2" t="s">
        <v>117</v>
      </c>
      <c r="D586" s="2" t="s">
        <v>676</v>
      </c>
      <c r="E586" s="4">
        <f t="shared" si="9"/>
        <v>0</v>
      </c>
    </row>
    <row r="587" spans="1:5" ht="24" x14ac:dyDescent="0.25">
      <c r="A587">
        <v>20108</v>
      </c>
      <c r="B587" s="2" t="s">
        <v>116</v>
      </c>
      <c r="C587" s="2" t="s">
        <v>117</v>
      </c>
      <c r="D587" s="2" t="s">
        <v>677</v>
      </c>
      <c r="E587" s="4">
        <f t="shared" si="9"/>
        <v>0</v>
      </c>
    </row>
    <row r="588" spans="1:5" x14ac:dyDescent="0.25">
      <c r="A588">
        <v>20307</v>
      </c>
      <c r="B588" s="2" t="s">
        <v>116</v>
      </c>
      <c r="C588" s="2" t="s">
        <v>134</v>
      </c>
      <c r="D588" s="2" t="s">
        <v>678</v>
      </c>
      <c r="E588" s="4">
        <f t="shared" si="9"/>
        <v>0</v>
      </c>
    </row>
    <row r="589" spans="1:5" x14ac:dyDescent="0.25">
      <c r="A589">
        <v>20407</v>
      </c>
      <c r="B589" s="2" t="s">
        <v>116</v>
      </c>
      <c r="C589" s="2" t="s">
        <v>141</v>
      </c>
      <c r="D589" s="2" t="s">
        <v>679</v>
      </c>
      <c r="E589" s="4">
        <f t="shared" si="9"/>
        <v>0</v>
      </c>
    </row>
    <row r="590" spans="1:5" x14ac:dyDescent="0.25">
      <c r="A590">
        <v>30115</v>
      </c>
      <c r="B590" s="2" t="s">
        <v>164</v>
      </c>
      <c r="C590" s="2" t="s">
        <v>164</v>
      </c>
      <c r="D590" s="2" t="s">
        <v>680</v>
      </c>
      <c r="E590" s="4">
        <f t="shared" si="9"/>
        <v>0</v>
      </c>
    </row>
    <row r="591" spans="1:5" ht="24" x14ac:dyDescent="0.25">
      <c r="A591">
        <v>30601</v>
      </c>
      <c r="B591" s="2" t="s">
        <v>164</v>
      </c>
      <c r="C591" s="2" t="s">
        <v>681</v>
      </c>
      <c r="D591" s="2" t="s">
        <v>682</v>
      </c>
      <c r="E591" s="4">
        <f t="shared" si="9"/>
        <v>0</v>
      </c>
    </row>
    <row r="592" spans="1:5" ht="24" x14ac:dyDescent="0.25">
      <c r="A592">
        <v>30602</v>
      </c>
      <c r="B592" s="2" t="s">
        <v>164</v>
      </c>
      <c r="C592" s="2" t="s">
        <v>681</v>
      </c>
      <c r="D592" s="2" t="s">
        <v>683</v>
      </c>
      <c r="E592" s="4">
        <f t="shared" si="9"/>
        <v>0</v>
      </c>
    </row>
    <row r="593" spans="1:5" ht="24" x14ac:dyDescent="0.25">
      <c r="A593">
        <v>30603</v>
      </c>
      <c r="B593" s="2" t="s">
        <v>164</v>
      </c>
      <c r="C593" s="2" t="s">
        <v>681</v>
      </c>
      <c r="D593" s="2" t="s">
        <v>684</v>
      </c>
      <c r="E593" s="4">
        <f t="shared" si="9"/>
        <v>0</v>
      </c>
    </row>
    <row r="594" spans="1:5" x14ac:dyDescent="0.25">
      <c r="A594">
        <v>40514</v>
      </c>
      <c r="B594" s="2" t="s">
        <v>205</v>
      </c>
      <c r="C594" s="2" t="s">
        <v>237</v>
      </c>
      <c r="D594" s="2" t="s">
        <v>685</v>
      </c>
      <c r="E594" s="4">
        <f t="shared" si="9"/>
        <v>0</v>
      </c>
    </row>
    <row r="595" spans="1:5" x14ac:dyDescent="0.25">
      <c r="A595">
        <v>40515</v>
      </c>
      <c r="B595" s="2" t="s">
        <v>205</v>
      </c>
      <c r="C595" s="2" t="s">
        <v>237</v>
      </c>
      <c r="D595" s="2" t="s">
        <v>686</v>
      </c>
      <c r="E595" s="4">
        <f t="shared" si="9"/>
        <v>0</v>
      </c>
    </row>
    <row r="596" spans="1:5" x14ac:dyDescent="0.25">
      <c r="A596">
        <v>40611</v>
      </c>
      <c r="B596" s="2" t="s">
        <v>205</v>
      </c>
      <c r="C596" s="2" t="s">
        <v>247</v>
      </c>
      <c r="D596" s="2" t="s">
        <v>687</v>
      </c>
      <c r="E596" s="4">
        <f t="shared" si="9"/>
        <v>0</v>
      </c>
    </row>
    <row r="597" spans="1:5" x14ac:dyDescent="0.25">
      <c r="A597">
        <v>40612</v>
      </c>
      <c r="B597" s="2" t="s">
        <v>205</v>
      </c>
      <c r="C597" s="2" t="s">
        <v>247</v>
      </c>
      <c r="D597" s="2" t="s">
        <v>688</v>
      </c>
      <c r="E597" s="4">
        <f t="shared" si="9"/>
        <v>0</v>
      </c>
    </row>
    <row r="598" spans="1:5" x14ac:dyDescent="0.25">
      <c r="A598">
        <v>41401</v>
      </c>
      <c r="B598" s="2" t="s">
        <v>205</v>
      </c>
      <c r="C598" s="2" t="s">
        <v>689</v>
      </c>
      <c r="D598" s="2" t="s">
        <v>690</v>
      </c>
      <c r="E598" s="4">
        <f t="shared" si="9"/>
        <v>0</v>
      </c>
    </row>
    <row r="599" spans="1:5" x14ac:dyDescent="0.25">
      <c r="A599">
        <v>41402</v>
      </c>
      <c r="B599" s="2" t="s">
        <v>205</v>
      </c>
      <c r="C599" s="2" t="s">
        <v>689</v>
      </c>
      <c r="D599" s="2" t="s">
        <v>691</v>
      </c>
      <c r="E599" s="4">
        <f t="shared" si="9"/>
        <v>0</v>
      </c>
    </row>
    <row r="600" spans="1:5" x14ac:dyDescent="0.25">
      <c r="A600">
        <v>41403</v>
      </c>
      <c r="B600" s="2" t="s">
        <v>205</v>
      </c>
      <c r="C600" s="2" t="s">
        <v>689</v>
      </c>
      <c r="D600" s="2" t="s">
        <v>692</v>
      </c>
      <c r="E600" s="4">
        <f t="shared" si="9"/>
        <v>0</v>
      </c>
    </row>
    <row r="601" spans="1:5" x14ac:dyDescent="0.25">
      <c r="A601">
        <v>41404</v>
      </c>
      <c r="B601" s="2" t="s">
        <v>205</v>
      </c>
      <c r="C601" s="2" t="s">
        <v>689</v>
      </c>
      <c r="D601" s="2" t="s">
        <v>693</v>
      </c>
      <c r="E601" s="4">
        <f t="shared" si="9"/>
        <v>0</v>
      </c>
    </row>
    <row r="602" spans="1:5" x14ac:dyDescent="0.25">
      <c r="A602">
        <v>41405</v>
      </c>
      <c r="B602" s="2" t="s">
        <v>205</v>
      </c>
      <c r="C602" s="2" t="s">
        <v>689</v>
      </c>
      <c r="D602" s="2" t="s">
        <v>694</v>
      </c>
      <c r="E602" s="4">
        <f t="shared" si="9"/>
        <v>0</v>
      </c>
    </row>
    <row r="603" spans="1:5" x14ac:dyDescent="0.25">
      <c r="A603">
        <v>50307</v>
      </c>
      <c r="B603" s="2" t="s">
        <v>301</v>
      </c>
      <c r="C603" s="2" t="s">
        <v>564</v>
      </c>
      <c r="D603" s="2" t="s">
        <v>695</v>
      </c>
      <c r="E603" s="4">
        <f t="shared" si="9"/>
        <v>0</v>
      </c>
    </row>
    <row r="604" spans="1:5" x14ac:dyDescent="0.25">
      <c r="A604">
        <v>50313</v>
      </c>
      <c r="B604" s="2" t="s">
        <v>301</v>
      </c>
      <c r="C604" s="2" t="s">
        <v>564</v>
      </c>
      <c r="D604" s="2" t="s">
        <v>696</v>
      </c>
      <c r="E604" s="4">
        <f t="shared" si="9"/>
        <v>0</v>
      </c>
    </row>
    <row r="605" spans="1:5" x14ac:dyDescent="0.25">
      <c r="A605">
        <v>50314</v>
      </c>
      <c r="B605" s="2" t="s">
        <v>301</v>
      </c>
      <c r="C605" s="2" t="s">
        <v>564</v>
      </c>
      <c r="D605" s="2" t="s">
        <v>697</v>
      </c>
      <c r="E605" s="4">
        <f t="shared" si="9"/>
        <v>0</v>
      </c>
    </row>
    <row r="606" spans="1:5" x14ac:dyDescent="0.25">
      <c r="A606">
        <v>50315</v>
      </c>
      <c r="B606" s="2" t="s">
        <v>301</v>
      </c>
      <c r="C606" s="2" t="s">
        <v>564</v>
      </c>
      <c r="D606" s="2" t="s">
        <v>698</v>
      </c>
      <c r="E606" s="4">
        <f t="shared" si="9"/>
        <v>0</v>
      </c>
    </row>
    <row r="607" spans="1:5" x14ac:dyDescent="0.25">
      <c r="A607">
        <v>50316</v>
      </c>
      <c r="B607" s="2" t="s">
        <v>301</v>
      </c>
      <c r="C607" s="2" t="s">
        <v>564</v>
      </c>
      <c r="D607" s="2" t="s">
        <v>565</v>
      </c>
      <c r="E607" s="4">
        <f t="shared" si="9"/>
        <v>0</v>
      </c>
    </row>
    <row r="608" spans="1:5" x14ac:dyDescent="0.25">
      <c r="A608">
        <v>50317</v>
      </c>
      <c r="B608" s="2" t="s">
        <v>301</v>
      </c>
      <c r="C608" s="2" t="s">
        <v>564</v>
      </c>
      <c r="D608" s="2" t="s">
        <v>99</v>
      </c>
      <c r="E608" s="4">
        <f t="shared" si="9"/>
        <v>0</v>
      </c>
    </row>
    <row r="609" spans="1:5" x14ac:dyDescent="0.25">
      <c r="A609">
        <v>50317</v>
      </c>
      <c r="B609" s="2" t="s">
        <v>301</v>
      </c>
      <c r="C609" s="2" t="s">
        <v>564</v>
      </c>
      <c r="D609" s="2" t="s">
        <v>699</v>
      </c>
      <c r="E609" s="4">
        <f t="shared" si="9"/>
        <v>0</v>
      </c>
    </row>
    <row r="610" spans="1:5" x14ac:dyDescent="0.25">
      <c r="A610">
        <v>50308</v>
      </c>
      <c r="B610" s="2" t="s">
        <v>301</v>
      </c>
      <c r="C610" s="2" t="s">
        <v>564</v>
      </c>
      <c r="D610" s="2" t="s">
        <v>700</v>
      </c>
      <c r="E610" s="4">
        <f t="shared" si="9"/>
        <v>0</v>
      </c>
    </row>
    <row r="611" spans="1:5" x14ac:dyDescent="0.25">
      <c r="A611">
        <v>50307</v>
      </c>
      <c r="B611" s="2" t="s">
        <v>301</v>
      </c>
      <c r="C611" s="2" t="s">
        <v>564</v>
      </c>
      <c r="D611" s="2" t="s">
        <v>695</v>
      </c>
      <c r="E611" s="4">
        <f t="shared" si="9"/>
        <v>0</v>
      </c>
    </row>
    <row r="612" spans="1:5" x14ac:dyDescent="0.25">
      <c r="A612">
        <v>50314</v>
      </c>
      <c r="B612" s="2" t="s">
        <v>301</v>
      </c>
      <c r="C612" s="2" t="s">
        <v>564</v>
      </c>
      <c r="D612" s="2" t="s">
        <v>697</v>
      </c>
      <c r="E612" s="4">
        <f t="shared" si="9"/>
        <v>0</v>
      </c>
    </row>
    <row r="613" spans="1:5" x14ac:dyDescent="0.25">
      <c r="A613">
        <v>50308</v>
      </c>
      <c r="B613" s="2" t="s">
        <v>301</v>
      </c>
      <c r="C613" s="2" t="s">
        <v>564</v>
      </c>
      <c r="D613" s="2" t="s">
        <v>700</v>
      </c>
      <c r="E613" s="4">
        <f t="shared" si="9"/>
        <v>0</v>
      </c>
    </row>
    <row r="614" spans="1:5" x14ac:dyDescent="0.25">
      <c r="A614">
        <v>50317</v>
      </c>
      <c r="B614" s="2" t="s">
        <v>301</v>
      </c>
      <c r="C614" s="2" t="s">
        <v>564</v>
      </c>
      <c r="D614" s="2" t="s">
        <v>699</v>
      </c>
      <c r="E614" s="4">
        <f t="shared" si="9"/>
        <v>0</v>
      </c>
    </row>
    <row r="615" spans="1:5" x14ac:dyDescent="0.25">
      <c r="A615">
        <v>50316</v>
      </c>
      <c r="B615" s="2" t="s">
        <v>301</v>
      </c>
      <c r="C615" s="2" t="s">
        <v>564</v>
      </c>
      <c r="D615" s="2" t="s">
        <v>565</v>
      </c>
      <c r="E615" s="4">
        <f t="shared" si="9"/>
        <v>0</v>
      </c>
    </row>
    <row r="616" spans="1:5" x14ac:dyDescent="0.25">
      <c r="A616">
        <v>60408</v>
      </c>
      <c r="B616" s="2" t="s">
        <v>321</v>
      </c>
      <c r="C616" s="2" t="s">
        <v>345</v>
      </c>
      <c r="D616" s="2" t="s">
        <v>701</v>
      </c>
      <c r="E616" s="4">
        <f t="shared" si="9"/>
        <v>0</v>
      </c>
    </row>
    <row r="617" spans="1:5" x14ac:dyDescent="0.25">
      <c r="A617">
        <v>70315</v>
      </c>
      <c r="B617" s="2" t="s">
        <v>374</v>
      </c>
      <c r="C617" s="2" t="s">
        <v>374</v>
      </c>
      <c r="D617" s="2" t="s">
        <v>702</v>
      </c>
      <c r="E617" s="4">
        <f t="shared" si="9"/>
        <v>0</v>
      </c>
    </row>
    <row r="618" spans="1:5" x14ac:dyDescent="0.25">
      <c r="A618">
        <v>80826</v>
      </c>
      <c r="B618" s="2" t="s">
        <v>451</v>
      </c>
      <c r="C618" s="2" t="s">
        <v>451</v>
      </c>
      <c r="D618" s="2" t="s">
        <v>703</v>
      </c>
      <c r="E618" s="4">
        <f t="shared" si="9"/>
        <v>0</v>
      </c>
    </row>
    <row r="619" spans="1:5" x14ac:dyDescent="0.25">
      <c r="A619">
        <v>90407</v>
      </c>
      <c r="B619" s="2" t="s">
        <v>508</v>
      </c>
      <c r="C619" s="2" t="s">
        <v>425</v>
      </c>
      <c r="D619" s="2" t="s">
        <v>704</v>
      </c>
      <c r="E619" s="4">
        <f t="shared" si="9"/>
        <v>0</v>
      </c>
    </row>
    <row r="620" spans="1:5" x14ac:dyDescent="0.25">
      <c r="A620">
        <v>90513</v>
      </c>
      <c r="B620" s="2" t="s">
        <v>508</v>
      </c>
      <c r="C620" s="2" t="s">
        <v>426</v>
      </c>
      <c r="D620" s="2" t="s">
        <v>705</v>
      </c>
      <c r="E620" s="4">
        <f t="shared" si="9"/>
        <v>0</v>
      </c>
    </row>
    <row r="621" spans="1:5" x14ac:dyDescent="0.25">
      <c r="A621">
        <v>91013</v>
      </c>
      <c r="B621" s="2" t="s">
        <v>508</v>
      </c>
      <c r="C621" s="2" t="s">
        <v>573</v>
      </c>
      <c r="D621" s="2" t="s">
        <v>706</v>
      </c>
      <c r="E621" s="4">
        <f t="shared" si="9"/>
        <v>0</v>
      </c>
    </row>
    <row r="622" spans="1:5" x14ac:dyDescent="0.25">
      <c r="A622">
        <v>91014</v>
      </c>
      <c r="B622" s="2" t="s">
        <v>508</v>
      </c>
      <c r="C622" s="2" t="s">
        <v>573</v>
      </c>
      <c r="D622" s="2" t="s">
        <v>707</v>
      </c>
      <c r="E622" s="4">
        <f t="shared" si="9"/>
        <v>0</v>
      </c>
    </row>
    <row r="623" spans="1:5" x14ac:dyDescent="0.25">
      <c r="A623">
        <v>91015</v>
      </c>
      <c r="B623" s="2" t="s">
        <v>508</v>
      </c>
      <c r="C623" s="2" t="s">
        <v>573</v>
      </c>
      <c r="D623" s="2" t="s">
        <v>708</v>
      </c>
      <c r="E623" s="4">
        <f t="shared" si="9"/>
        <v>0</v>
      </c>
    </row>
    <row r="624" spans="1:5" x14ac:dyDescent="0.25">
      <c r="A624">
        <v>91016</v>
      </c>
      <c r="B624" s="2" t="s">
        <v>508</v>
      </c>
      <c r="C624" s="2" t="s">
        <v>573</v>
      </c>
      <c r="D624" s="2" t="s">
        <v>709</v>
      </c>
      <c r="E624" s="4">
        <f t="shared" si="9"/>
        <v>0</v>
      </c>
    </row>
    <row r="625" spans="1:5" x14ac:dyDescent="0.25">
      <c r="A625">
        <v>91111</v>
      </c>
      <c r="B625" s="2" t="s">
        <v>508</v>
      </c>
      <c r="C625" s="2" t="s">
        <v>583</v>
      </c>
      <c r="D625" s="2" t="s">
        <v>710</v>
      </c>
      <c r="E625" s="4">
        <f t="shared" si="9"/>
        <v>0</v>
      </c>
    </row>
    <row r="626" spans="1:5" x14ac:dyDescent="0.25">
      <c r="A626">
        <v>91112</v>
      </c>
      <c r="B626" s="2" t="s">
        <v>508</v>
      </c>
      <c r="C626" s="2" t="s">
        <v>583</v>
      </c>
      <c r="D626" s="2" t="s">
        <v>711</v>
      </c>
      <c r="E626" s="4">
        <f t="shared" si="9"/>
        <v>0</v>
      </c>
    </row>
    <row r="627" spans="1:5" ht="24" x14ac:dyDescent="0.25">
      <c r="A627">
        <v>120313</v>
      </c>
      <c r="B627" s="2" t="s">
        <v>608</v>
      </c>
      <c r="C627" s="2" t="s">
        <v>627</v>
      </c>
      <c r="D627" s="2" t="s">
        <v>712</v>
      </c>
      <c r="E627" s="4">
        <f t="shared" si="9"/>
        <v>0</v>
      </c>
    </row>
    <row r="628" spans="1:5" ht="24" x14ac:dyDescent="0.25">
      <c r="A628">
        <v>120315</v>
      </c>
      <c r="B628" s="2" t="s">
        <v>608</v>
      </c>
      <c r="C628" s="2" t="s">
        <v>627</v>
      </c>
      <c r="D628" s="2" t="s">
        <v>713</v>
      </c>
      <c r="E628" s="4">
        <f t="shared" si="9"/>
        <v>0</v>
      </c>
    </row>
    <row r="629" spans="1:5" ht="24" x14ac:dyDescent="0.25">
      <c r="A629">
        <v>120315</v>
      </c>
      <c r="B629" s="2" t="s">
        <v>608</v>
      </c>
      <c r="C629" s="2" t="s">
        <v>627</v>
      </c>
      <c r="D629" s="2" t="s">
        <v>714</v>
      </c>
      <c r="E629" s="4">
        <f t="shared" si="9"/>
        <v>0</v>
      </c>
    </row>
    <row r="630" spans="1:5" ht="24" x14ac:dyDescent="0.25">
      <c r="A630">
        <v>120316</v>
      </c>
      <c r="B630" s="2" t="s">
        <v>608</v>
      </c>
      <c r="C630" s="2" t="s">
        <v>627</v>
      </c>
      <c r="D630" s="2" t="s">
        <v>715</v>
      </c>
      <c r="E630" s="4">
        <f t="shared" si="9"/>
        <v>0</v>
      </c>
    </row>
    <row r="631" spans="1:5" ht="24" x14ac:dyDescent="0.25">
      <c r="A631">
        <v>120510</v>
      </c>
      <c r="B631" s="2" t="s">
        <v>608</v>
      </c>
      <c r="C631" s="2" t="s">
        <v>645</v>
      </c>
      <c r="D631" s="2" t="s">
        <v>716</v>
      </c>
      <c r="E631" s="4">
        <f t="shared" si="9"/>
        <v>0</v>
      </c>
    </row>
    <row r="632" spans="1:5" ht="24" x14ac:dyDescent="0.25">
      <c r="A632">
        <v>120511</v>
      </c>
      <c r="B632" s="2" t="s">
        <v>608</v>
      </c>
      <c r="C632" s="2" t="s">
        <v>645</v>
      </c>
      <c r="D632" s="2" t="s">
        <v>717</v>
      </c>
      <c r="E632" s="4">
        <f t="shared" si="9"/>
        <v>0</v>
      </c>
    </row>
    <row r="633" spans="1:5" ht="24" x14ac:dyDescent="0.25">
      <c r="A633">
        <v>120610</v>
      </c>
      <c r="B633" s="2" t="s">
        <v>608</v>
      </c>
      <c r="C633" s="2" t="s">
        <v>655</v>
      </c>
      <c r="D633" s="2" t="s">
        <v>718</v>
      </c>
      <c r="E633" s="4">
        <f t="shared" si="9"/>
        <v>0</v>
      </c>
    </row>
    <row r="634" spans="1:5" ht="24" x14ac:dyDescent="0.25">
      <c r="A634">
        <v>120611</v>
      </c>
      <c r="B634" s="2" t="s">
        <v>608</v>
      </c>
      <c r="C634" s="2" t="s">
        <v>655</v>
      </c>
      <c r="D634" s="2" t="s">
        <v>719</v>
      </c>
      <c r="E634" s="4">
        <f t="shared" si="9"/>
        <v>0</v>
      </c>
    </row>
    <row r="635" spans="1:5" ht="24" x14ac:dyDescent="0.25">
      <c r="A635">
        <v>120708</v>
      </c>
      <c r="B635" s="2" t="s">
        <v>608</v>
      </c>
      <c r="C635" s="2" t="s">
        <v>660</v>
      </c>
      <c r="D635" s="2" t="s">
        <v>156</v>
      </c>
      <c r="E635" s="4">
        <f t="shared" si="9"/>
        <v>0</v>
      </c>
    </row>
    <row r="636" spans="1:5" ht="24" x14ac:dyDescent="0.25">
      <c r="A636">
        <v>120801</v>
      </c>
      <c r="B636" s="2" t="s">
        <v>608</v>
      </c>
      <c r="C636" s="2" t="s">
        <v>720</v>
      </c>
      <c r="D636" s="2" t="s">
        <v>721</v>
      </c>
      <c r="E636" s="4">
        <f t="shared" si="9"/>
        <v>0</v>
      </c>
    </row>
    <row r="637" spans="1:5" ht="24" x14ac:dyDescent="0.25">
      <c r="A637">
        <v>120802</v>
      </c>
      <c r="B637" s="2" t="s">
        <v>608</v>
      </c>
      <c r="C637" s="2" t="s">
        <v>720</v>
      </c>
      <c r="D637" s="2" t="s">
        <v>722</v>
      </c>
      <c r="E637" s="4">
        <f t="shared" si="9"/>
        <v>0</v>
      </c>
    </row>
    <row r="638" spans="1:5" ht="24" x14ac:dyDescent="0.25">
      <c r="A638">
        <v>120803</v>
      </c>
      <c r="B638" s="2" t="s">
        <v>608</v>
      </c>
      <c r="C638" s="2" t="s">
        <v>720</v>
      </c>
      <c r="D638" s="2" t="s">
        <v>723</v>
      </c>
      <c r="E638" s="4">
        <f t="shared" si="9"/>
        <v>0</v>
      </c>
    </row>
    <row r="639" spans="1:5" ht="24" x14ac:dyDescent="0.25">
      <c r="A639">
        <v>120804</v>
      </c>
      <c r="B639" s="2" t="s">
        <v>608</v>
      </c>
      <c r="C639" s="2" t="s">
        <v>720</v>
      </c>
      <c r="D639" s="2" t="s">
        <v>724</v>
      </c>
      <c r="E639" s="4">
        <f t="shared" si="9"/>
        <v>0</v>
      </c>
    </row>
    <row r="640" spans="1:5" ht="24" x14ac:dyDescent="0.25">
      <c r="A640">
        <v>120805</v>
      </c>
      <c r="B640" s="2" t="s">
        <v>608</v>
      </c>
      <c r="C640" s="2" t="s">
        <v>720</v>
      </c>
      <c r="D640" s="2" t="s">
        <v>725</v>
      </c>
      <c r="E640" s="4">
        <f t="shared" si="9"/>
        <v>0</v>
      </c>
    </row>
    <row r="641" spans="1:5" ht="36" x14ac:dyDescent="0.25">
      <c r="A641">
        <v>120901</v>
      </c>
      <c r="B641" s="2" t="s">
        <v>608</v>
      </c>
      <c r="C641" s="2" t="s">
        <v>726</v>
      </c>
      <c r="D641" s="2" t="s">
        <v>727</v>
      </c>
      <c r="E641" s="4">
        <f t="shared" si="9"/>
        <v>0</v>
      </c>
    </row>
    <row r="642" spans="1:5" ht="24" x14ac:dyDescent="0.25">
      <c r="A642">
        <v>120902</v>
      </c>
      <c r="B642" s="2" t="s">
        <v>608</v>
      </c>
      <c r="C642" s="2" t="s">
        <v>726</v>
      </c>
      <c r="D642" s="2" t="s">
        <v>728</v>
      </c>
      <c r="E642" s="4">
        <f t="shared" si="9"/>
        <v>0</v>
      </c>
    </row>
    <row r="643" spans="1:5" ht="24" x14ac:dyDescent="0.25">
      <c r="A643">
        <v>120903</v>
      </c>
      <c r="B643" s="2" t="s">
        <v>608</v>
      </c>
      <c r="C643" s="2" t="s">
        <v>726</v>
      </c>
      <c r="D643" s="2" t="s">
        <v>729</v>
      </c>
      <c r="E643" s="4">
        <f t="shared" si="9"/>
        <v>0</v>
      </c>
    </row>
    <row r="644" spans="1:5" ht="24" x14ac:dyDescent="0.25">
      <c r="A644">
        <v>120904</v>
      </c>
      <c r="B644" s="2" t="s">
        <v>608</v>
      </c>
      <c r="C644" s="2" t="s">
        <v>726</v>
      </c>
      <c r="D644" s="2" t="s">
        <v>730</v>
      </c>
      <c r="E644" s="4">
        <f t="shared" si="9"/>
        <v>0</v>
      </c>
    </row>
    <row r="645" spans="1:5" ht="24" x14ac:dyDescent="0.25">
      <c r="A645">
        <v>120905</v>
      </c>
      <c r="B645" s="2" t="s">
        <v>608</v>
      </c>
      <c r="C645" s="2" t="s">
        <v>726</v>
      </c>
      <c r="D645" s="2" t="s">
        <v>731</v>
      </c>
      <c r="E645" s="4">
        <f t="shared" ref="E645:E708" si="10">SUM(F645:AEZ645)</f>
        <v>0</v>
      </c>
    </row>
    <row r="646" spans="1:5" x14ac:dyDescent="0.25">
      <c r="A646">
        <v>130101</v>
      </c>
      <c r="B646" s="2" t="s">
        <v>732</v>
      </c>
      <c r="C646" s="2" t="s">
        <v>733</v>
      </c>
      <c r="D646" s="2" t="s">
        <v>734</v>
      </c>
      <c r="E646" s="4">
        <f t="shared" si="10"/>
        <v>0</v>
      </c>
    </row>
    <row r="647" spans="1:5" x14ac:dyDescent="0.25">
      <c r="A647">
        <v>130101</v>
      </c>
      <c r="B647" s="2" t="s">
        <v>732</v>
      </c>
      <c r="C647" s="2" t="s">
        <v>733</v>
      </c>
      <c r="D647" s="2" t="s">
        <v>734</v>
      </c>
      <c r="E647" s="4">
        <f t="shared" si="10"/>
        <v>0</v>
      </c>
    </row>
    <row r="648" spans="1:5" ht="24" x14ac:dyDescent="0.25">
      <c r="A648">
        <v>130102</v>
      </c>
      <c r="B648" s="2" t="s">
        <v>732</v>
      </c>
      <c r="C648" s="2" t="s">
        <v>733</v>
      </c>
      <c r="D648" s="2" t="s">
        <v>735</v>
      </c>
      <c r="E648" s="4">
        <f t="shared" si="10"/>
        <v>0</v>
      </c>
    </row>
    <row r="649" spans="1:5" x14ac:dyDescent="0.25">
      <c r="A649">
        <v>130103</v>
      </c>
      <c r="B649" s="2" t="s">
        <v>732</v>
      </c>
      <c r="C649" s="2" t="s">
        <v>733</v>
      </c>
      <c r="D649" s="2" t="s">
        <v>736</v>
      </c>
      <c r="E649" s="4">
        <f t="shared" si="10"/>
        <v>0</v>
      </c>
    </row>
    <row r="650" spans="1:5" x14ac:dyDescent="0.25">
      <c r="A650">
        <v>130103</v>
      </c>
      <c r="B650" s="2" t="s">
        <v>732</v>
      </c>
      <c r="C650" s="2" t="s">
        <v>733</v>
      </c>
      <c r="D650" s="2" t="s">
        <v>736</v>
      </c>
      <c r="E650" s="4">
        <f t="shared" si="10"/>
        <v>0</v>
      </c>
    </row>
    <row r="651" spans="1:5" x14ac:dyDescent="0.25">
      <c r="A651">
        <v>130104</v>
      </c>
      <c r="B651" s="2" t="s">
        <v>732</v>
      </c>
      <c r="C651" s="2" t="s">
        <v>733</v>
      </c>
      <c r="D651" s="2" t="s">
        <v>283</v>
      </c>
      <c r="E651" s="4">
        <f t="shared" si="10"/>
        <v>0</v>
      </c>
    </row>
    <row r="652" spans="1:5" x14ac:dyDescent="0.25">
      <c r="A652">
        <v>130104</v>
      </c>
      <c r="B652" s="2" t="s">
        <v>732</v>
      </c>
      <c r="C652" s="2" t="s">
        <v>733</v>
      </c>
      <c r="D652" s="2" t="s">
        <v>283</v>
      </c>
      <c r="E652" s="4">
        <f t="shared" si="10"/>
        <v>0</v>
      </c>
    </row>
    <row r="653" spans="1:5" x14ac:dyDescent="0.25">
      <c r="A653">
        <v>130105</v>
      </c>
      <c r="B653" s="2" t="s">
        <v>732</v>
      </c>
      <c r="C653" s="2" t="s">
        <v>733</v>
      </c>
      <c r="D653" s="2" t="s">
        <v>737</v>
      </c>
      <c r="E653" s="4">
        <f t="shared" si="10"/>
        <v>0</v>
      </c>
    </row>
    <row r="654" spans="1:5" x14ac:dyDescent="0.25">
      <c r="A654">
        <v>130106</v>
      </c>
      <c r="B654" s="2" t="s">
        <v>732</v>
      </c>
      <c r="C654" s="2" t="s">
        <v>733</v>
      </c>
      <c r="D654" s="2" t="s">
        <v>738</v>
      </c>
      <c r="E654" s="4">
        <f t="shared" si="10"/>
        <v>0</v>
      </c>
    </row>
    <row r="655" spans="1:5" x14ac:dyDescent="0.25">
      <c r="A655">
        <v>130107</v>
      </c>
      <c r="B655" s="2" t="s">
        <v>732</v>
      </c>
      <c r="C655" s="2" t="s">
        <v>733</v>
      </c>
      <c r="D655" s="2" t="s">
        <v>739</v>
      </c>
      <c r="E655" s="4">
        <f t="shared" si="10"/>
        <v>0</v>
      </c>
    </row>
    <row r="656" spans="1:5" x14ac:dyDescent="0.25">
      <c r="A656">
        <v>130107</v>
      </c>
      <c r="B656" s="2" t="s">
        <v>732</v>
      </c>
      <c r="C656" s="2" t="s">
        <v>733</v>
      </c>
      <c r="D656" s="2" t="s">
        <v>739</v>
      </c>
      <c r="E656" s="4">
        <f t="shared" si="10"/>
        <v>0</v>
      </c>
    </row>
    <row r="657" spans="1:5" x14ac:dyDescent="0.25">
      <c r="A657">
        <v>130108</v>
      </c>
      <c r="B657" s="2" t="s">
        <v>732</v>
      </c>
      <c r="C657" s="2" t="s">
        <v>733</v>
      </c>
      <c r="D657" s="2" t="s">
        <v>740</v>
      </c>
      <c r="E657" s="4">
        <f t="shared" si="10"/>
        <v>0</v>
      </c>
    </row>
    <row r="658" spans="1:5" x14ac:dyDescent="0.25">
      <c r="A658">
        <v>130301</v>
      </c>
      <c r="B658" s="2" t="s">
        <v>732</v>
      </c>
      <c r="C658" s="2" t="s">
        <v>741</v>
      </c>
      <c r="D658" s="2" t="s">
        <v>742</v>
      </c>
      <c r="E658" s="4">
        <f t="shared" si="10"/>
        <v>0</v>
      </c>
    </row>
    <row r="659" spans="1:5" x14ac:dyDescent="0.25">
      <c r="A659">
        <v>130302</v>
      </c>
      <c r="B659" s="2" t="s">
        <v>732</v>
      </c>
      <c r="C659" s="2" t="s">
        <v>741</v>
      </c>
      <c r="D659" s="2" t="s">
        <v>743</v>
      </c>
      <c r="E659" s="4">
        <f t="shared" si="10"/>
        <v>0</v>
      </c>
    </row>
    <row r="660" spans="1:5" x14ac:dyDescent="0.25">
      <c r="A660">
        <v>130303</v>
      </c>
      <c r="B660" s="2" t="s">
        <v>732</v>
      </c>
      <c r="C660" s="2" t="s">
        <v>741</v>
      </c>
      <c r="D660" s="2" t="s">
        <v>744</v>
      </c>
      <c r="E660" s="4">
        <f t="shared" si="10"/>
        <v>0</v>
      </c>
    </row>
    <row r="661" spans="1:5" x14ac:dyDescent="0.25">
      <c r="A661">
        <v>130310</v>
      </c>
      <c r="B661" s="2" t="s">
        <v>732</v>
      </c>
      <c r="C661" s="2" t="s">
        <v>741</v>
      </c>
      <c r="D661" s="2" t="s">
        <v>745</v>
      </c>
      <c r="E661" s="4">
        <f t="shared" si="10"/>
        <v>0</v>
      </c>
    </row>
    <row r="662" spans="1:5" x14ac:dyDescent="0.25">
      <c r="A662">
        <v>130305</v>
      </c>
      <c r="B662" s="2" t="s">
        <v>732</v>
      </c>
      <c r="C662" s="2" t="s">
        <v>741</v>
      </c>
      <c r="D662" s="2" t="s">
        <v>746</v>
      </c>
      <c r="E662" s="4">
        <f t="shared" si="10"/>
        <v>0</v>
      </c>
    </row>
    <row r="663" spans="1:5" x14ac:dyDescent="0.25">
      <c r="A663">
        <v>130306</v>
      </c>
      <c r="B663" s="2" t="s">
        <v>732</v>
      </c>
      <c r="C663" s="2" t="s">
        <v>741</v>
      </c>
      <c r="D663" s="2" t="s">
        <v>747</v>
      </c>
      <c r="E663" s="4">
        <f t="shared" si="10"/>
        <v>0</v>
      </c>
    </row>
    <row r="664" spans="1:5" x14ac:dyDescent="0.25">
      <c r="A664">
        <v>130307</v>
      </c>
      <c r="B664" s="2" t="s">
        <v>732</v>
      </c>
      <c r="C664" s="2" t="s">
        <v>741</v>
      </c>
      <c r="D664" s="2" t="s">
        <v>444</v>
      </c>
      <c r="E664" s="4">
        <f t="shared" si="10"/>
        <v>0</v>
      </c>
    </row>
    <row r="665" spans="1:5" x14ac:dyDescent="0.25">
      <c r="A665">
        <v>130308</v>
      </c>
      <c r="B665" s="2" t="s">
        <v>732</v>
      </c>
      <c r="C665" s="2" t="s">
        <v>741</v>
      </c>
      <c r="D665" s="2" t="s">
        <v>748</v>
      </c>
      <c r="E665" s="4">
        <f t="shared" si="10"/>
        <v>0</v>
      </c>
    </row>
    <row r="666" spans="1:5" x14ac:dyDescent="0.25">
      <c r="A666">
        <v>130309</v>
      </c>
      <c r="B666" s="2" t="s">
        <v>732</v>
      </c>
      <c r="C666" s="2" t="s">
        <v>741</v>
      </c>
      <c r="D666" s="2" t="s">
        <v>749</v>
      </c>
      <c r="E666" s="4">
        <f t="shared" si="10"/>
        <v>0</v>
      </c>
    </row>
    <row r="667" spans="1:5" x14ac:dyDescent="0.25">
      <c r="A667">
        <v>130311</v>
      </c>
      <c r="B667" s="2" t="s">
        <v>732</v>
      </c>
      <c r="C667" s="2" t="s">
        <v>741</v>
      </c>
      <c r="D667" s="2" t="s">
        <v>750</v>
      </c>
      <c r="E667" s="4">
        <f t="shared" si="10"/>
        <v>0</v>
      </c>
    </row>
    <row r="668" spans="1:5" x14ac:dyDescent="0.25">
      <c r="A668">
        <v>130312</v>
      </c>
      <c r="B668" s="2" t="s">
        <v>732</v>
      </c>
      <c r="C668" s="2" t="s">
        <v>741</v>
      </c>
      <c r="D668" s="2" t="s">
        <v>751</v>
      </c>
      <c r="E668" s="4">
        <f t="shared" si="10"/>
        <v>0</v>
      </c>
    </row>
    <row r="669" spans="1:5" x14ac:dyDescent="0.25">
      <c r="A669">
        <v>130313</v>
      </c>
      <c r="B669" s="2" t="s">
        <v>732</v>
      </c>
      <c r="C669" s="2" t="s">
        <v>741</v>
      </c>
      <c r="D669" s="2" t="s">
        <v>177</v>
      </c>
      <c r="E669" s="4">
        <f t="shared" si="10"/>
        <v>0</v>
      </c>
    </row>
    <row r="670" spans="1:5" x14ac:dyDescent="0.25">
      <c r="A670">
        <v>130304</v>
      </c>
      <c r="B670" s="2" t="s">
        <v>732</v>
      </c>
      <c r="C670" s="2" t="s">
        <v>741</v>
      </c>
      <c r="D670" s="2" t="s">
        <v>752</v>
      </c>
      <c r="E670" s="4">
        <f t="shared" si="10"/>
        <v>0</v>
      </c>
    </row>
    <row r="671" spans="1:5" x14ac:dyDescent="0.25">
      <c r="A671">
        <v>130401</v>
      </c>
      <c r="B671" s="2" t="s">
        <v>732</v>
      </c>
      <c r="C671" s="2" t="s">
        <v>753</v>
      </c>
      <c r="D671" s="2" t="s">
        <v>754</v>
      </c>
      <c r="E671" s="4">
        <f t="shared" si="10"/>
        <v>0</v>
      </c>
    </row>
    <row r="672" spans="1:5" x14ac:dyDescent="0.25">
      <c r="A672">
        <v>130402</v>
      </c>
      <c r="B672" s="2" t="s">
        <v>732</v>
      </c>
      <c r="C672" s="2" t="s">
        <v>753</v>
      </c>
      <c r="D672" s="2" t="s">
        <v>755</v>
      </c>
      <c r="E672" s="4">
        <f t="shared" si="10"/>
        <v>0</v>
      </c>
    </row>
    <row r="673" spans="1:5" x14ac:dyDescent="0.25">
      <c r="A673">
        <v>130403</v>
      </c>
      <c r="B673" s="2" t="s">
        <v>732</v>
      </c>
      <c r="C673" s="2" t="s">
        <v>753</v>
      </c>
      <c r="D673" s="2" t="s">
        <v>756</v>
      </c>
      <c r="E673" s="4">
        <f t="shared" si="10"/>
        <v>0</v>
      </c>
    </row>
    <row r="674" spans="1:5" x14ac:dyDescent="0.25">
      <c r="A674">
        <v>130404</v>
      </c>
      <c r="B674" s="2" t="s">
        <v>732</v>
      </c>
      <c r="C674" s="2" t="s">
        <v>753</v>
      </c>
      <c r="D674" s="2" t="s">
        <v>125</v>
      </c>
      <c r="E674" s="4">
        <f t="shared" si="10"/>
        <v>0</v>
      </c>
    </row>
    <row r="675" spans="1:5" x14ac:dyDescent="0.25">
      <c r="A675">
        <v>130405</v>
      </c>
      <c r="B675" s="2" t="s">
        <v>732</v>
      </c>
      <c r="C675" s="2" t="s">
        <v>753</v>
      </c>
      <c r="D675" s="2" t="s">
        <v>757</v>
      </c>
      <c r="E675" s="4">
        <f t="shared" si="10"/>
        <v>0</v>
      </c>
    </row>
    <row r="676" spans="1:5" x14ac:dyDescent="0.25">
      <c r="A676">
        <v>130406</v>
      </c>
      <c r="B676" s="2" t="s">
        <v>732</v>
      </c>
      <c r="C676" s="2" t="s">
        <v>753</v>
      </c>
      <c r="D676" s="2" t="s">
        <v>758</v>
      </c>
      <c r="E676" s="4">
        <f t="shared" si="10"/>
        <v>0</v>
      </c>
    </row>
    <row r="677" spans="1:5" x14ac:dyDescent="0.25">
      <c r="A677">
        <v>130407</v>
      </c>
      <c r="B677" s="2" t="s">
        <v>732</v>
      </c>
      <c r="C677" s="2" t="s">
        <v>753</v>
      </c>
      <c r="D677" s="2" t="s">
        <v>285</v>
      </c>
      <c r="E677" s="4">
        <f t="shared" si="10"/>
        <v>0</v>
      </c>
    </row>
    <row r="678" spans="1:5" x14ac:dyDescent="0.25">
      <c r="A678">
        <v>130408</v>
      </c>
      <c r="B678" s="2" t="s">
        <v>732</v>
      </c>
      <c r="C678" s="2" t="s">
        <v>753</v>
      </c>
      <c r="D678" s="2" t="s">
        <v>759</v>
      </c>
      <c r="E678" s="4">
        <f t="shared" si="10"/>
        <v>0</v>
      </c>
    </row>
    <row r="679" spans="1:5" x14ac:dyDescent="0.25">
      <c r="A679">
        <v>130409</v>
      </c>
      <c r="B679" s="2" t="s">
        <v>732</v>
      </c>
      <c r="C679" s="2" t="s">
        <v>753</v>
      </c>
      <c r="D679" s="2" t="s">
        <v>760</v>
      </c>
      <c r="E679" s="4">
        <f t="shared" si="10"/>
        <v>0</v>
      </c>
    </row>
    <row r="680" spans="1:5" x14ac:dyDescent="0.25">
      <c r="A680">
        <v>130410</v>
      </c>
      <c r="B680" s="2" t="s">
        <v>732</v>
      </c>
      <c r="C680" s="2" t="s">
        <v>753</v>
      </c>
      <c r="D680" s="2" t="s">
        <v>761</v>
      </c>
      <c r="E680" s="4">
        <f t="shared" si="10"/>
        <v>0</v>
      </c>
    </row>
    <row r="681" spans="1:5" x14ac:dyDescent="0.25">
      <c r="A681">
        <v>130411</v>
      </c>
      <c r="B681" s="2" t="s">
        <v>732</v>
      </c>
      <c r="C681" s="2" t="s">
        <v>753</v>
      </c>
      <c r="D681" s="2" t="s">
        <v>762</v>
      </c>
      <c r="E681" s="4">
        <f t="shared" si="10"/>
        <v>0</v>
      </c>
    </row>
    <row r="682" spans="1:5" x14ac:dyDescent="0.25">
      <c r="A682">
        <v>130701</v>
      </c>
      <c r="B682" s="2" t="s">
        <v>732</v>
      </c>
      <c r="C682" s="2" t="s">
        <v>763</v>
      </c>
      <c r="D682" s="2" t="s">
        <v>764</v>
      </c>
      <c r="E682" s="4">
        <f t="shared" si="10"/>
        <v>0</v>
      </c>
    </row>
    <row r="683" spans="1:5" x14ac:dyDescent="0.25">
      <c r="A683">
        <v>130702</v>
      </c>
      <c r="B683" s="2" t="s">
        <v>732</v>
      </c>
      <c r="C683" s="2" t="s">
        <v>763</v>
      </c>
      <c r="D683" s="2" t="s">
        <v>765</v>
      </c>
      <c r="E683" s="4">
        <f t="shared" si="10"/>
        <v>0</v>
      </c>
    </row>
    <row r="684" spans="1:5" x14ac:dyDescent="0.25">
      <c r="A684">
        <v>130703</v>
      </c>
      <c r="B684" s="2" t="s">
        <v>732</v>
      </c>
      <c r="C684" s="2" t="s">
        <v>763</v>
      </c>
      <c r="D684" s="2" t="s">
        <v>766</v>
      </c>
      <c r="E684" s="4">
        <f t="shared" si="10"/>
        <v>0</v>
      </c>
    </row>
    <row r="685" spans="1:5" x14ac:dyDescent="0.25">
      <c r="A685">
        <v>130703</v>
      </c>
      <c r="B685" s="2" t="s">
        <v>732</v>
      </c>
      <c r="C685" s="2" t="s">
        <v>763</v>
      </c>
      <c r="D685" s="2" t="s">
        <v>766</v>
      </c>
      <c r="E685" s="4">
        <f t="shared" si="10"/>
        <v>0</v>
      </c>
    </row>
    <row r="686" spans="1:5" x14ac:dyDescent="0.25">
      <c r="A686">
        <v>130704</v>
      </c>
      <c r="B686" s="2" t="s">
        <v>732</v>
      </c>
      <c r="C686" s="2" t="s">
        <v>763</v>
      </c>
      <c r="D686" s="2" t="s">
        <v>767</v>
      </c>
      <c r="E686" s="4">
        <f t="shared" si="10"/>
        <v>0</v>
      </c>
    </row>
    <row r="687" spans="1:5" x14ac:dyDescent="0.25">
      <c r="A687">
        <v>130704</v>
      </c>
      <c r="B687" s="2" t="s">
        <v>732</v>
      </c>
      <c r="C687" s="2" t="s">
        <v>763</v>
      </c>
      <c r="D687" s="2" t="s">
        <v>767</v>
      </c>
      <c r="E687" s="4">
        <f t="shared" si="10"/>
        <v>0</v>
      </c>
    </row>
    <row r="688" spans="1:5" x14ac:dyDescent="0.25">
      <c r="A688">
        <v>130705</v>
      </c>
      <c r="B688" s="2" t="s">
        <v>732</v>
      </c>
      <c r="C688" s="2" t="s">
        <v>763</v>
      </c>
      <c r="D688" s="2" t="s">
        <v>768</v>
      </c>
      <c r="E688" s="4">
        <f t="shared" si="10"/>
        <v>0</v>
      </c>
    </row>
    <row r="689" spans="1:5" x14ac:dyDescent="0.25">
      <c r="A689">
        <v>130705</v>
      </c>
      <c r="B689" s="2" t="s">
        <v>732</v>
      </c>
      <c r="C689" s="2" t="s">
        <v>763</v>
      </c>
      <c r="D689" s="2" t="s">
        <v>768</v>
      </c>
      <c r="E689" s="4">
        <f t="shared" si="10"/>
        <v>0</v>
      </c>
    </row>
    <row r="690" spans="1:5" x14ac:dyDescent="0.25">
      <c r="A690">
        <v>130706</v>
      </c>
      <c r="B690" s="2" t="s">
        <v>732</v>
      </c>
      <c r="C690" s="2" t="s">
        <v>763</v>
      </c>
      <c r="D690" s="2" t="s">
        <v>158</v>
      </c>
      <c r="E690" s="4">
        <f t="shared" si="10"/>
        <v>0</v>
      </c>
    </row>
    <row r="691" spans="1:5" x14ac:dyDescent="0.25">
      <c r="A691">
        <v>130707</v>
      </c>
      <c r="B691" s="2" t="s">
        <v>732</v>
      </c>
      <c r="C691" s="2" t="s">
        <v>763</v>
      </c>
      <c r="D691" s="2" t="s">
        <v>769</v>
      </c>
      <c r="E691" s="4">
        <f t="shared" si="10"/>
        <v>0</v>
      </c>
    </row>
    <row r="692" spans="1:5" x14ac:dyDescent="0.25">
      <c r="A692">
        <v>130708</v>
      </c>
      <c r="B692" s="2" t="s">
        <v>732</v>
      </c>
      <c r="C692" s="2" t="s">
        <v>763</v>
      </c>
      <c r="D692" s="2" t="s">
        <v>770</v>
      </c>
      <c r="E692" s="4">
        <f t="shared" si="10"/>
        <v>0</v>
      </c>
    </row>
    <row r="693" spans="1:5" x14ac:dyDescent="0.25">
      <c r="A693">
        <v>130709</v>
      </c>
      <c r="B693" s="2" t="s">
        <v>732</v>
      </c>
      <c r="C693" s="2" t="s">
        <v>763</v>
      </c>
      <c r="D693" s="2" t="s">
        <v>321</v>
      </c>
      <c r="E693" s="4">
        <f t="shared" si="10"/>
        <v>0</v>
      </c>
    </row>
    <row r="694" spans="1:5" x14ac:dyDescent="0.25">
      <c r="A694">
        <v>130710</v>
      </c>
      <c r="B694" s="2" t="s">
        <v>732</v>
      </c>
      <c r="C694" s="2" t="s">
        <v>763</v>
      </c>
      <c r="D694" s="2" t="s">
        <v>771</v>
      </c>
      <c r="E694" s="4">
        <f t="shared" si="10"/>
        <v>0</v>
      </c>
    </row>
    <row r="695" spans="1:5" x14ac:dyDescent="0.25">
      <c r="A695">
        <v>130711</v>
      </c>
      <c r="B695" s="2" t="s">
        <v>732</v>
      </c>
      <c r="C695" s="2" t="s">
        <v>763</v>
      </c>
      <c r="D695" s="2" t="s">
        <v>772</v>
      </c>
      <c r="E695" s="4">
        <f t="shared" si="10"/>
        <v>0</v>
      </c>
    </row>
    <row r="696" spans="1:5" x14ac:dyDescent="0.25">
      <c r="A696">
        <v>130711</v>
      </c>
      <c r="B696" s="2" t="s">
        <v>732</v>
      </c>
      <c r="C696" s="2" t="s">
        <v>763</v>
      </c>
      <c r="D696" s="2" t="s">
        <v>772</v>
      </c>
      <c r="E696" s="4">
        <f t="shared" si="10"/>
        <v>0</v>
      </c>
    </row>
    <row r="697" spans="1:5" x14ac:dyDescent="0.25">
      <c r="A697">
        <v>130712</v>
      </c>
      <c r="B697" s="2" t="s">
        <v>732</v>
      </c>
      <c r="C697" s="2" t="s">
        <v>763</v>
      </c>
      <c r="D697" s="2" t="s">
        <v>773</v>
      </c>
      <c r="E697" s="4">
        <f t="shared" si="10"/>
        <v>0</v>
      </c>
    </row>
    <row r="698" spans="1:5" x14ac:dyDescent="0.25">
      <c r="A698">
        <v>130712</v>
      </c>
      <c r="B698" s="2" t="s">
        <v>732</v>
      </c>
      <c r="C698" s="2" t="s">
        <v>763</v>
      </c>
      <c r="D698" s="2" t="s">
        <v>773</v>
      </c>
      <c r="E698" s="4">
        <f t="shared" si="10"/>
        <v>0</v>
      </c>
    </row>
    <row r="699" spans="1:5" x14ac:dyDescent="0.25">
      <c r="A699">
        <v>130713</v>
      </c>
      <c r="B699" s="2" t="s">
        <v>732</v>
      </c>
      <c r="C699" s="2" t="s">
        <v>763</v>
      </c>
      <c r="D699" s="2" t="s">
        <v>774</v>
      </c>
      <c r="E699" s="4">
        <f t="shared" si="10"/>
        <v>0</v>
      </c>
    </row>
    <row r="700" spans="1:5" x14ac:dyDescent="0.25">
      <c r="A700">
        <v>130714</v>
      </c>
      <c r="B700" s="2" t="s">
        <v>732</v>
      </c>
      <c r="C700" s="2" t="s">
        <v>763</v>
      </c>
      <c r="D700" s="2" t="s">
        <v>775</v>
      </c>
      <c r="E700" s="4">
        <f t="shared" si="10"/>
        <v>0</v>
      </c>
    </row>
    <row r="701" spans="1:5" x14ac:dyDescent="0.25">
      <c r="A701">
        <v>130714</v>
      </c>
      <c r="B701" s="2" t="s">
        <v>732</v>
      </c>
      <c r="C701" s="2" t="s">
        <v>763</v>
      </c>
      <c r="D701" s="2" t="s">
        <v>775</v>
      </c>
      <c r="E701" s="4">
        <f t="shared" si="10"/>
        <v>0</v>
      </c>
    </row>
    <row r="702" spans="1:5" x14ac:dyDescent="0.25">
      <c r="A702">
        <v>130715</v>
      </c>
      <c r="B702" s="2" t="s">
        <v>732</v>
      </c>
      <c r="C702" s="2" t="s">
        <v>763</v>
      </c>
      <c r="D702" s="2" t="s">
        <v>776</v>
      </c>
      <c r="E702" s="4">
        <f t="shared" si="10"/>
        <v>0</v>
      </c>
    </row>
    <row r="703" spans="1:5" x14ac:dyDescent="0.25">
      <c r="A703">
        <v>130716</v>
      </c>
      <c r="B703" s="2" t="s">
        <v>732</v>
      </c>
      <c r="C703" s="2" t="s">
        <v>763</v>
      </c>
      <c r="D703" s="2" t="s">
        <v>777</v>
      </c>
      <c r="E703" s="4">
        <f t="shared" si="10"/>
        <v>0</v>
      </c>
    </row>
    <row r="704" spans="1:5" x14ac:dyDescent="0.25">
      <c r="A704">
        <v>130717</v>
      </c>
      <c r="B704" s="2" t="s">
        <v>732</v>
      </c>
      <c r="C704" s="2" t="s">
        <v>763</v>
      </c>
      <c r="D704" s="2" t="s">
        <v>778</v>
      </c>
      <c r="E704" s="4">
        <f t="shared" si="10"/>
        <v>0</v>
      </c>
    </row>
    <row r="705" spans="1:5" x14ac:dyDescent="0.25">
      <c r="A705">
        <v>130718</v>
      </c>
      <c r="B705" s="2" t="s">
        <v>732</v>
      </c>
      <c r="C705" s="2" t="s">
        <v>763</v>
      </c>
      <c r="D705" s="2" t="s">
        <v>132</v>
      </c>
      <c r="E705" s="4">
        <f t="shared" si="10"/>
        <v>0</v>
      </c>
    </row>
    <row r="706" spans="1:5" x14ac:dyDescent="0.25">
      <c r="A706">
        <v>130901</v>
      </c>
      <c r="B706" s="2" t="s">
        <v>732</v>
      </c>
      <c r="C706" s="2" t="s">
        <v>252</v>
      </c>
      <c r="D706" s="2" t="s">
        <v>779</v>
      </c>
      <c r="E706" s="4">
        <f t="shared" si="10"/>
        <v>0</v>
      </c>
    </row>
    <row r="707" spans="1:5" x14ac:dyDescent="0.25">
      <c r="A707">
        <v>130902</v>
      </c>
      <c r="B707" s="2" t="s">
        <v>732</v>
      </c>
      <c r="C707" s="2" t="s">
        <v>252</v>
      </c>
      <c r="D707" s="2" t="s">
        <v>780</v>
      </c>
      <c r="E707" s="4">
        <f t="shared" si="10"/>
        <v>0</v>
      </c>
    </row>
    <row r="708" spans="1:5" x14ac:dyDescent="0.25">
      <c r="A708">
        <v>130903</v>
      </c>
      <c r="B708" s="2" t="s">
        <v>732</v>
      </c>
      <c r="C708" s="2" t="s">
        <v>252</v>
      </c>
      <c r="D708" s="2" t="s">
        <v>704</v>
      </c>
      <c r="E708" s="4">
        <f t="shared" si="10"/>
        <v>0</v>
      </c>
    </row>
    <row r="709" spans="1:5" x14ac:dyDescent="0.25">
      <c r="A709">
        <v>130904</v>
      </c>
      <c r="B709" s="2" t="s">
        <v>732</v>
      </c>
      <c r="C709" s="2" t="s">
        <v>252</v>
      </c>
      <c r="D709" s="2" t="s">
        <v>653</v>
      </c>
      <c r="E709" s="4">
        <f t="shared" ref="E709:E714" si="11">SUM(F709:AEZ709)</f>
        <v>0</v>
      </c>
    </row>
    <row r="710" spans="1:5" x14ac:dyDescent="0.25">
      <c r="A710">
        <v>130905</v>
      </c>
      <c r="B710" s="2" t="s">
        <v>732</v>
      </c>
      <c r="C710" s="2" t="s">
        <v>252</v>
      </c>
      <c r="D710" s="2" t="s">
        <v>781</v>
      </c>
      <c r="E710" s="4">
        <f t="shared" si="11"/>
        <v>0</v>
      </c>
    </row>
    <row r="711" spans="1:5" x14ac:dyDescent="0.25">
      <c r="A711">
        <v>130906</v>
      </c>
      <c r="B711" s="2" t="s">
        <v>732</v>
      </c>
      <c r="C711" s="2" t="s">
        <v>252</v>
      </c>
      <c r="D711" s="2" t="s">
        <v>520</v>
      </c>
      <c r="E711" s="4">
        <f t="shared" si="11"/>
        <v>0</v>
      </c>
    </row>
    <row r="712" spans="1:5" x14ac:dyDescent="0.25">
      <c r="A712">
        <v>130907</v>
      </c>
      <c r="B712" s="2" t="s">
        <v>732</v>
      </c>
      <c r="C712" s="2" t="s">
        <v>252</v>
      </c>
      <c r="D712" s="2" t="s">
        <v>782</v>
      </c>
      <c r="E712" s="4">
        <f t="shared" si="11"/>
        <v>0</v>
      </c>
    </row>
    <row r="713" spans="1:5" x14ac:dyDescent="0.25">
      <c r="A713">
        <v>130908</v>
      </c>
      <c r="B713" s="2" t="s">
        <v>732</v>
      </c>
      <c r="C713" s="2" t="s">
        <v>252</v>
      </c>
      <c r="D713" s="2" t="s">
        <v>783</v>
      </c>
      <c r="E713" s="4">
        <f t="shared" si="11"/>
        <v>0</v>
      </c>
    </row>
    <row r="714" spans="1:5" x14ac:dyDescent="0.25">
      <c r="A714">
        <v>130909</v>
      </c>
      <c r="B714" s="2" t="s">
        <v>732</v>
      </c>
      <c r="C714" s="2" t="s">
        <v>252</v>
      </c>
      <c r="D714" s="2" t="s">
        <v>402</v>
      </c>
      <c r="E714" s="4">
        <f t="shared" si="11"/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57B0-B983-4066-8059-89E3C2413328}">
  <dimension ref="A2:E714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6" sqref="A6"/>
      <selection pane="bottomRight" activeCell="E579" sqref="E579"/>
    </sheetView>
  </sheetViews>
  <sheetFormatPr baseColWidth="10" defaultColWidth="11.42578125" defaultRowHeight="15" x14ac:dyDescent="0.25"/>
  <cols>
    <col min="1" max="1" width="6.85546875" customWidth="1"/>
    <col min="2" max="2" width="14.5703125" customWidth="1"/>
    <col min="3" max="3" width="17" customWidth="1"/>
    <col min="4" max="4" width="22.42578125" customWidth="1"/>
    <col min="5" max="5" width="12.7109375" customWidth="1"/>
  </cols>
  <sheetData>
    <row r="2" spans="1:5" ht="15.75" x14ac:dyDescent="0.25">
      <c r="E2" s="5"/>
    </row>
    <row r="3" spans="1:5" s="6" customFormat="1" ht="25.9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786</v>
      </c>
    </row>
    <row r="4" spans="1:5" x14ac:dyDescent="0.25">
      <c r="A4">
        <v>80821</v>
      </c>
      <c r="B4" s="2" t="s">
        <v>451</v>
      </c>
      <c r="C4" s="2" t="s">
        <v>451</v>
      </c>
      <c r="D4" s="2" t="s">
        <v>490</v>
      </c>
      <c r="E4" s="4">
        <v>327</v>
      </c>
    </row>
    <row r="5" spans="1:5" x14ac:dyDescent="0.25">
      <c r="A5">
        <v>30202</v>
      </c>
      <c r="B5" s="2" t="s">
        <v>164</v>
      </c>
      <c r="C5" s="2" t="s">
        <v>179</v>
      </c>
      <c r="D5" s="2" t="s">
        <v>181</v>
      </c>
      <c r="E5" s="4"/>
    </row>
    <row r="6" spans="1:5" x14ac:dyDescent="0.25">
      <c r="A6">
        <v>70313</v>
      </c>
      <c r="B6" s="2" t="s">
        <v>374</v>
      </c>
      <c r="C6" s="2" t="s">
        <v>374</v>
      </c>
      <c r="D6" s="2" t="s">
        <v>416</v>
      </c>
      <c r="E6" s="4"/>
    </row>
    <row r="7" spans="1:5" ht="24" x14ac:dyDescent="0.25">
      <c r="A7">
        <v>120502</v>
      </c>
      <c r="B7" s="2" t="s">
        <v>608</v>
      </c>
      <c r="C7" s="2" t="s">
        <v>645</v>
      </c>
      <c r="D7" s="2" t="s">
        <v>647</v>
      </c>
      <c r="E7" s="4"/>
    </row>
    <row r="8" spans="1:5" x14ac:dyDescent="0.25">
      <c r="A8">
        <v>50313</v>
      </c>
      <c r="B8" s="2" t="s">
        <v>301</v>
      </c>
      <c r="C8" s="2" t="s">
        <v>564</v>
      </c>
      <c r="D8" s="2" t="s">
        <v>696</v>
      </c>
      <c r="E8" s="4">
        <v>0</v>
      </c>
    </row>
    <row r="9" spans="1:5" x14ac:dyDescent="0.25">
      <c r="A9">
        <v>20101</v>
      </c>
      <c r="B9" s="2" t="s">
        <v>116</v>
      </c>
      <c r="C9" s="2" t="s">
        <v>117</v>
      </c>
      <c r="D9" s="2" t="s">
        <v>118</v>
      </c>
      <c r="E9" s="4">
        <v>8</v>
      </c>
    </row>
    <row r="10" spans="1:5" ht="24" x14ac:dyDescent="0.25">
      <c r="A10">
        <v>100102</v>
      </c>
      <c r="B10" s="2" t="s">
        <v>596</v>
      </c>
      <c r="C10" s="2" t="s">
        <v>596</v>
      </c>
      <c r="D10" s="2" t="s">
        <v>598</v>
      </c>
      <c r="E10" s="4">
        <v>91</v>
      </c>
    </row>
    <row r="11" spans="1:5" x14ac:dyDescent="0.25">
      <c r="A11">
        <v>40101</v>
      </c>
      <c r="B11" s="2" t="s">
        <v>205</v>
      </c>
      <c r="C11" s="2" t="s">
        <v>206</v>
      </c>
      <c r="D11" s="2" t="s">
        <v>207</v>
      </c>
      <c r="E11" s="4">
        <v>2</v>
      </c>
    </row>
    <row r="12" spans="1:5" x14ac:dyDescent="0.25">
      <c r="A12">
        <v>80822</v>
      </c>
      <c r="B12" s="2" t="s">
        <v>451</v>
      </c>
      <c r="C12" s="2" t="s">
        <v>451</v>
      </c>
      <c r="D12" s="2" t="s">
        <v>491</v>
      </c>
      <c r="E12" s="4">
        <v>153</v>
      </c>
    </row>
    <row r="13" spans="1:5" x14ac:dyDescent="0.25">
      <c r="A13">
        <v>10401</v>
      </c>
      <c r="B13" s="2" t="s">
        <v>92</v>
      </c>
      <c r="C13" s="2" t="s">
        <v>98</v>
      </c>
      <c r="D13" s="2" t="s">
        <v>669</v>
      </c>
      <c r="E13" s="4">
        <v>1</v>
      </c>
    </row>
    <row r="14" spans="1:5" ht="24" x14ac:dyDescent="0.25">
      <c r="A14">
        <v>120902</v>
      </c>
      <c r="B14" s="2" t="s">
        <v>608</v>
      </c>
      <c r="C14" s="2" t="s">
        <v>726</v>
      </c>
      <c r="D14" s="2" t="s">
        <v>728</v>
      </c>
      <c r="E14" s="4"/>
    </row>
    <row r="15" spans="1:5" x14ac:dyDescent="0.25">
      <c r="A15">
        <v>40404</v>
      </c>
      <c r="B15" s="2" t="s">
        <v>205</v>
      </c>
      <c r="C15" s="2" t="s">
        <v>231</v>
      </c>
      <c r="D15" s="2" t="s">
        <v>234</v>
      </c>
      <c r="E15" s="4">
        <v>14</v>
      </c>
    </row>
    <row r="16" spans="1:5" ht="24" x14ac:dyDescent="0.25">
      <c r="A16">
        <v>120302</v>
      </c>
      <c r="B16" s="2" t="s">
        <v>608</v>
      </c>
      <c r="C16" s="2" t="s">
        <v>627</v>
      </c>
      <c r="D16" s="2" t="s">
        <v>629</v>
      </c>
      <c r="E16" s="4"/>
    </row>
    <row r="17" spans="1:5" ht="24" x14ac:dyDescent="0.25">
      <c r="A17">
        <v>120503</v>
      </c>
      <c r="B17" s="2" t="s">
        <v>608</v>
      </c>
      <c r="C17" s="2" t="s">
        <v>645</v>
      </c>
      <c r="D17" s="2" t="s">
        <v>648</v>
      </c>
      <c r="E17" s="4"/>
    </row>
    <row r="18" spans="1:5" x14ac:dyDescent="0.25">
      <c r="A18">
        <v>70702</v>
      </c>
      <c r="B18" s="2" t="s">
        <v>374</v>
      </c>
      <c r="C18" s="2" t="s">
        <v>439</v>
      </c>
      <c r="D18" s="2" t="s">
        <v>441</v>
      </c>
      <c r="E18" s="4"/>
    </row>
    <row r="19" spans="1:5" x14ac:dyDescent="0.25">
      <c r="A19">
        <v>130703</v>
      </c>
      <c r="B19" s="2" t="s">
        <v>732</v>
      </c>
      <c r="C19" s="2" t="s">
        <v>763</v>
      </c>
      <c r="D19" s="2" t="s">
        <v>766</v>
      </c>
      <c r="E19" s="4">
        <v>1</v>
      </c>
    </row>
    <row r="20" spans="1:5" x14ac:dyDescent="0.25">
      <c r="A20">
        <v>130703</v>
      </c>
      <c r="B20" s="2" t="s">
        <v>732</v>
      </c>
      <c r="C20" s="2" t="s">
        <v>763</v>
      </c>
      <c r="D20" s="2" t="s">
        <v>766</v>
      </c>
      <c r="E20" s="4">
        <v>1</v>
      </c>
    </row>
    <row r="21" spans="1:5" x14ac:dyDescent="0.25">
      <c r="A21">
        <v>81001</v>
      </c>
      <c r="B21" s="2" t="s">
        <v>451</v>
      </c>
      <c r="C21" s="2" t="s">
        <v>494</v>
      </c>
      <c r="D21" s="2" t="s">
        <v>495</v>
      </c>
      <c r="E21" s="4">
        <v>135</v>
      </c>
    </row>
    <row r="22" spans="1:5" x14ac:dyDescent="0.25">
      <c r="A22">
        <v>80814</v>
      </c>
      <c r="B22" s="2" t="s">
        <v>451</v>
      </c>
      <c r="C22" s="2" t="s">
        <v>451</v>
      </c>
      <c r="D22" s="2" t="s">
        <v>493</v>
      </c>
      <c r="E22" s="4">
        <v>208</v>
      </c>
    </row>
    <row r="23" spans="1:5" x14ac:dyDescent="0.25">
      <c r="A23">
        <v>80814</v>
      </c>
      <c r="B23" s="2" t="s">
        <v>451</v>
      </c>
      <c r="C23" s="2" t="s">
        <v>451</v>
      </c>
      <c r="D23" s="2" t="s">
        <v>493</v>
      </c>
      <c r="E23" s="4">
        <v>208</v>
      </c>
    </row>
    <row r="24" spans="1:5" x14ac:dyDescent="0.25">
      <c r="A24">
        <v>20201</v>
      </c>
      <c r="B24" s="2" t="s">
        <v>116</v>
      </c>
      <c r="C24" s="2" t="s">
        <v>123</v>
      </c>
      <c r="D24" s="2" t="s">
        <v>124</v>
      </c>
      <c r="E24" s="4">
        <v>9</v>
      </c>
    </row>
    <row r="25" spans="1:5" x14ac:dyDescent="0.25">
      <c r="A25">
        <v>91202</v>
      </c>
      <c r="B25" s="2" t="s">
        <v>508</v>
      </c>
      <c r="C25" s="2" t="s">
        <v>591</v>
      </c>
      <c r="D25" s="2" t="s">
        <v>593</v>
      </c>
      <c r="E25" s="4"/>
    </row>
    <row r="26" spans="1:5" x14ac:dyDescent="0.25">
      <c r="A26">
        <v>81006</v>
      </c>
      <c r="B26" s="2" t="s">
        <v>451</v>
      </c>
      <c r="C26" s="2" t="s">
        <v>494</v>
      </c>
      <c r="D26" s="2" t="s">
        <v>500</v>
      </c>
      <c r="E26" s="4">
        <v>132</v>
      </c>
    </row>
    <row r="27" spans="1:5" x14ac:dyDescent="0.25">
      <c r="A27">
        <v>130704</v>
      </c>
      <c r="B27" s="2" t="s">
        <v>732</v>
      </c>
      <c r="C27" s="2" t="s">
        <v>763</v>
      </c>
      <c r="D27" s="2" t="s">
        <v>767</v>
      </c>
      <c r="E27" s="4">
        <v>1</v>
      </c>
    </row>
    <row r="28" spans="1:5" x14ac:dyDescent="0.25">
      <c r="A28">
        <v>130704</v>
      </c>
      <c r="B28" s="2" t="s">
        <v>732</v>
      </c>
      <c r="C28" s="2" t="s">
        <v>763</v>
      </c>
      <c r="D28" s="2" t="s">
        <v>767</v>
      </c>
      <c r="E28" s="4">
        <v>1</v>
      </c>
    </row>
    <row r="29" spans="1:5" x14ac:dyDescent="0.25">
      <c r="A29">
        <v>130101</v>
      </c>
      <c r="B29" s="2" t="s">
        <v>732</v>
      </c>
      <c r="C29" s="2" t="s">
        <v>733</v>
      </c>
      <c r="D29" s="2" t="s">
        <v>734</v>
      </c>
      <c r="E29" s="4">
        <v>425</v>
      </c>
    </row>
    <row r="30" spans="1:5" x14ac:dyDescent="0.25">
      <c r="A30">
        <v>130101</v>
      </c>
      <c r="B30" s="2" t="s">
        <v>732</v>
      </c>
      <c r="C30" s="2" t="s">
        <v>733</v>
      </c>
      <c r="D30" s="2" t="s">
        <v>734</v>
      </c>
      <c r="E30" s="4">
        <v>425</v>
      </c>
    </row>
    <row r="31" spans="1:5" x14ac:dyDescent="0.25">
      <c r="A31">
        <v>40502</v>
      </c>
      <c r="B31" s="2" t="s">
        <v>205</v>
      </c>
      <c r="C31" s="2" t="s">
        <v>237</v>
      </c>
      <c r="D31" s="2" t="s">
        <v>239</v>
      </c>
      <c r="E31" s="4">
        <v>3</v>
      </c>
    </row>
    <row r="32" spans="1:5" x14ac:dyDescent="0.25">
      <c r="A32">
        <v>90101</v>
      </c>
      <c r="B32" s="2" t="s">
        <v>508</v>
      </c>
      <c r="C32" s="2" t="s">
        <v>509</v>
      </c>
      <c r="D32" s="2" t="s">
        <v>510</v>
      </c>
      <c r="E32" s="4">
        <v>20</v>
      </c>
    </row>
    <row r="33" spans="1:5" x14ac:dyDescent="0.25">
      <c r="A33">
        <v>40204</v>
      </c>
      <c r="B33" s="2" t="s">
        <v>205</v>
      </c>
      <c r="C33" s="2" t="s">
        <v>216</v>
      </c>
      <c r="D33" s="2" t="s">
        <v>220</v>
      </c>
      <c r="E33" s="4">
        <v>0</v>
      </c>
    </row>
    <row r="34" spans="1:5" x14ac:dyDescent="0.25">
      <c r="A34">
        <v>40302</v>
      </c>
      <c r="B34" s="2" t="s">
        <v>205</v>
      </c>
      <c r="C34" s="2" t="s">
        <v>222</v>
      </c>
      <c r="D34" s="2" t="s">
        <v>224</v>
      </c>
      <c r="E34" s="4">
        <v>1</v>
      </c>
    </row>
    <row r="35" spans="1:5" ht="24" x14ac:dyDescent="0.25">
      <c r="A35">
        <v>120702</v>
      </c>
      <c r="B35" s="2" t="s">
        <v>608</v>
      </c>
      <c r="C35" s="2" t="s">
        <v>660</v>
      </c>
      <c r="D35" s="2" t="s">
        <v>661</v>
      </c>
      <c r="E35" s="4"/>
    </row>
    <row r="36" spans="1:5" x14ac:dyDescent="0.25">
      <c r="A36">
        <v>70402</v>
      </c>
      <c r="B36" s="2" t="s">
        <v>374</v>
      </c>
      <c r="C36" s="2" t="s">
        <v>418</v>
      </c>
      <c r="D36" s="2" t="s">
        <v>420</v>
      </c>
      <c r="E36" s="4"/>
    </row>
    <row r="37" spans="1:5" x14ac:dyDescent="0.25">
      <c r="A37">
        <v>91102</v>
      </c>
      <c r="B37" s="2" t="s">
        <v>508</v>
      </c>
      <c r="C37" s="2" t="s">
        <v>583</v>
      </c>
      <c r="D37" s="2" t="s">
        <v>420</v>
      </c>
      <c r="E37" s="4">
        <v>0</v>
      </c>
    </row>
    <row r="38" spans="1:5" x14ac:dyDescent="0.25">
      <c r="A38">
        <v>10306</v>
      </c>
      <c r="B38" s="2" t="s">
        <v>92</v>
      </c>
      <c r="C38" s="2" t="s">
        <v>109</v>
      </c>
      <c r="D38" s="2" t="s">
        <v>115</v>
      </c>
      <c r="E38" s="4">
        <v>0</v>
      </c>
    </row>
    <row r="39" spans="1:5" x14ac:dyDescent="0.25">
      <c r="A39">
        <v>70202</v>
      </c>
      <c r="B39" s="2" t="s">
        <v>374</v>
      </c>
      <c r="C39" s="2" t="s">
        <v>105</v>
      </c>
      <c r="D39" s="2" t="s">
        <v>387</v>
      </c>
      <c r="E39" s="4"/>
    </row>
    <row r="40" spans="1:5" x14ac:dyDescent="0.25">
      <c r="A40">
        <v>70403</v>
      </c>
      <c r="B40" s="2" t="s">
        <v>374</v>
      </c>
      <c r="C40" s="2" t="s">
        <v>418</v>
      </c>
      <c r="D40" s="2" t="s">
        <v>421</v>
      </c>
      <c r="E40" s="4"/>
    </row>
    <row r="41" spans="1:5" ht="24" x14ac:dyDescent="0.25">
      <c r="A41">
        <v>120303</v>
      </c>
      <c r="B41" s="2" t="s">
        <v>608</v>
      </c>
      <c r="C41" s="2" t="s">
        <v>627</v>
      </c>
      <c r="D41" s="2" t="s">
        <v>630</v>
      </c>
      <c r="E41" s="4">
        <v>0</v>
      </c>
    </row>
    <row r="42" spans="1:5" x14ac:dyDescent="0.25">
      <c r="A42">
        <v>90202</v>
      </c>
      <c r="B42" s="2" t="s">
        <v>508</v>
      </c>
      <c r="C42" s="2" t="s">
        <v>515</v>
      </c>
      <c r="D42" s="2" t="s">
        <v>517</v>
      </c>
      <c r="E42" s="4"/>
    </row>
    <row r="43" spans="1:5" x14ac:dyDescent="0.25">
      <c r="A43">
        <v>10213</v>
      </c>
      <c r="B43" s="2" t="s">
        <v>92</v>
      </c>
      <c r="C43" s="2" t="s">
        <v>100</v>
      </c>
      <c r="D43" s="2" t="s">
        <v>664</v>
      </c>
      <c r="E43" s="4">
        <v>0</v>
      </c>
    </row>
    <row r="44" spans="1:5" x14ac:dyDescent="0.25">
      <c r="A44">
        <v>10403</v>
      </c>
      <c r="B44" s="2" t="s">
        <v>92</v>
      </c>
      <c r="C44" s="2" t="s">
        <v>98</v>
      </c>
      <c r="D44" s="2" t="s">
        <v>674</v>
      </c>
      <c r="E44" s="4">
        <v>0</v>
      </c>
    </row>
    <row r="45" spans="1:5" x14ac:dyDescent="0.25">
      <c r="A45">
        <v>130701</v>
      </c>
      <c r="B45" s="2" t="s">
        <v>732</v>
      </c>
      <c r="C45" s="2" t="s">
        <v>763</v>
      </c>
      <c r="D45" s="2" t="s">
        <v>764</v>
      </c>
      <c r="E45" s="4">
        <v>50</v>
      </c>
    </row>
    <row r="46" spans="1:5" x14ac:dyDescent="0.25">
      <c r="A46">
        <v>130702</v>
      </c>
      <c r="B46" s="2" t="s">
        <v>732</v>
      </c>
      <c r="C46" s="2" t="s">
        <v>763</v>
      </c>
      <c r="D46" s="2" t="s">
        <v>765</v>
      </c>
      <c r="E46" s="4">
        <v>86</v>
      </c>
    </row>
    <row r="47" spans="1:5" x14ac:dyDescent="0.25">
      <c r="A47">
        <v>10402</v>
      </c>
      <c r="B47" s="2" t="s">
        <v>92</v>
      </c>
      <c r="C47" s="2" t="s">
        <v>98</v>
      </c>
      <c r="D47" s="2" t="s">
        <v>670</v>
      </c>
      <c r="E47" s="4">
        <v>3</v>
      </c>
    </row>
    <row r="48" spans="1:5" x14ac:dyDescent="0.25">
      <c r="A48">
        <v>30101</v>
      </c>
      <c r="B48" s="2" t="s">
        <v>164</v>
      </c>
      <c r="C48" s="2" t="s">
        <v>164</v>
      </c>
      <c r="D48" s="2" t="s">
        <v>165</v>
      </c>
      <c r="E48" s="4">
        <v>7</v>
      </c>
    </row>
    <row r="49" spans="1:5" x14ac:dyDescent="0.25">
      <c r="A49">
        <v>30102</v>
      </c>
      <c r="B49" s="2" t="s">
        <v>164</v>
      </c>
      <c r="C49" s="2" t="s">
        <v>164</v>
      </c>
      <c r="D49" s="2" t="s">
        <v>166</v>
      </c>
      <c r="E49" s="4">
        <v>2</v>
      </c>
    </row>
    <row r="50" spans="1:5" x14ac:dyDescent="0.25">
      <c r="A50">
        <v>20105</v>
      </c>
      <c r="B50" s="2" t="s">
        <v>116</v>
      </c>
      <c r="C50" s="2" t="s">
        <v>117</v>
      </c>
      <c r="D50" s="2" t="s">
        <v>122</v>
      </c>
      <c r="E50" s="4">
        <v>4</v>
      </c>
    </row>
    <row r="51" spans="1:5" x14ac:dyDescent="0.25">
      <c r="A51">
        <v>10102</v>
      </c>
      <c r="B51" s="2" t="s">
        <v>92</v>
      </c>
      <c r="C51" s="2" t="s">
        <v>92</v>
      </c>
      <c r="D51" s="2" t="s">
        <v>94</v>
      </c>
      <c r="E51" s="4"/>
    </row>
    <row r="52" spans="1:5" x14ac:dyDescent="0.25">
      <c r="A52">
        <v>70203</v>
      </c>
      <c r="B52" s="2" t="s">
        <v>374</v>
      </c>
      <c r="C52" s="2" t="s">
        <v>105</v>
      </c>
      <c r="D52" s="2" t="s">
        <v>388</v>
      </c>
      <c r="E52" s="4"/>
    </row>
    <row r="53" spans="1:5" x14ac:dyDescent="0.25">
      <c r="A53">
        <v>130402</v>
      </c>
      <c r="B53" s="2" t="s">
        <v>732</v>
      </c>
      <c r="C53" s="2" t="s">
        <v>753</v>
      </c>
      <c r="D53" s="2" t="s">
        <v>755</v>
      </c>
      <c r="E53" s="4">
        <v>1</v>
      </c>
    </row>
    <row r="54" spans="1:5" x14ac:dyDescent="0.25">
      <c r="A54">
        <v>81007</v>
      </c>
      <c r="B54" s="2" t="s">
        <v>451</v>
      </c>
      <c r="C54" s="2" t="s">
        <v>494</v>
      </c>
      <c r="D54" s="2" t="s">
        <v>501</v>
      </c>
      <c r="E54" s="4">
        <v>158</v>
      </c>
    </row>
    <row r="55" spans="1:5" x14ac:dyDescent="0.25">
      <c r="A55">
        <v>81002</v>
      </c>
      <c r="B55" s="2" t="s">
        <v>451</v>
      </c>
      <c r="C55" s="2" t="s">
        <v>494</v>
      </c>
      <c r="D55" s="2" t="s">
        <v>496</v>
      </c>
      <c r="E55" s="4">
        <v>243</v>
      </c>
    </row>
    <row r="56" spans="1:5" x14ac:dyDescent="0.25">
      <c r="A56">
        <v>41302</v>
      </c>
      <c r="B56" s="2" t="s">
        <v>205</v>
      </c>
      <c r="C56" s="2" t="s">
        <v>292</v>
      </c>
      <c r="D56" s="2" t="s">
        <v>294</v>
      </c>
      <c r="E56" s="4"/>
    </row>
    <row r="57" spans="1:5" x14ac:dyDescent="0.25">
      <c r="A57">
        <v>80807</v>
      </c>
      <c r="B57" s="2" t="s">
        <v>451</v>
      </c>
      <c r="C57" s="2" t="s">
        <v>451</v>
      </c>
      <c r="D57" s="2" t="s">
        <v>294</v>
      </c>
      <c r="E57" s="4">
        <v>113</v>
      </c>
    </row>
    <row r="58" spans="1:5" x14ac:dyDescent="0.25">
      <c r="A58">
        <v>80806</v>
      </c>
      <c r="B58" s="2" t="s">
        <v>451</v>
      </c>
      <c r="C58" s="2" t="s">
        <v>451</v>
      </c>
      <c r="D58" s="2" t="s">
        <v>477</v>
      </c>
      <c r="E58" s="4">
        <v>138</v>
      </c>
    </row>
    <row r="59" spans="1:5" x14ac:dyDescent="0.25">
      <c r="A59">
        <v>40602</v>
      </c>
      <c r="B59" s="2" t="s">
        <v>205</v>
      </c>
      <c r="C59" s="2" t="s">
        <v>247</v>
      </c>
      <c r="D59" s="2" t="s">
        <v>249</v>
      </c>
      <c r="E59" s="4"/>
    </row>
    <row r="60" spans="1:5" ht="24" x14ac:dyDescent="0.25">
      <c r="A60">
        <v>120601</v>
      </c>
      <c r="B60" s="2" t="s">
        <v>608</v>
      </c>
      <c r="C60" s="2" t="s">
        <v>655</v>
      </c>
      <c r="D60" s="2" t="s">
        <v>656</v>
      </c>
      <c r="E60" s="4"/>
    </row>
    <row r="61" spans="1:5" x14ac:dyDescent="0.25">
      <c r="A61">
        <v>90402</v>
      </c>
      <c r="B61" s="2" t="s">
        <v>508</v>
      </c>
      <c r="C61" s="2" t="s">
        <v>425</v>
      </c>
      <c r="D61" s="2" t="s">
        <v>534</v>
      </c>
      <c r="E61" s="4"/>
    </row>
    <row r="62" spans="1:5" x14ac:dyDescent="0.25">
      <c r="A62">
        <v>41202</v>
      </c>
      <c r="B62" s="2" t="s">
        <v>205</v>
      </c>
      <c r="C62" s="2" t="s">
        <v>288</v>
      </c>
      <c r="D62" s="2" t="s">
        <v>290</v>
      </c>
      <c r="E62" s="4"/>
    </row>
    <row r="63" spans="1:5" ht="24" x14ac:dyDescent="0.25">
      <c r="A63">
        <v>120102</v>
      </c>
      <c r="B63" s="2" t="s">
        <v>608</v>
      </c>
      <c r="C63" s="2" t="s">
        <v>609</v>
      </c>
      <c r="D63" s="2" t="s">
        <v>611</v>
      </c>
      <c r="E63" s="4"/>
    </row>
    <row r="64" spans="1:5" x14ac:dyDescent="0.25">
      <c r="A64">
        <v>50202</v>
      </c>
      <c r="B64" s="2" t="s">
        <v>301</v>
      </c>
      <c r="C64" s="2" t="s">
        <v>312</v>
      </c>
      <c r="D64" s="2" t="s">
        <v>314</v>
      </c>
      <c r="E64" s="4">
        <v>0</v>
      </c>
    </row>
    <row r="65" spans="1:5" x14ac:dyDescent="0.25">
      <c r="A65">
        <v>41203</v>
      </c>
      <c r="B65" s="2" t="s">
        <v>205</v>
      </c>
      <c r="C65" s="2" t="s">
        <v>288</v>
      </c>
      <c r="D65" s="2" t="s">
        <v>291</v>
      </c>
      <c r="E65" s="4"/>
    </row>
    <row r="66" spans="1:5" x14ac:dyDescent="0.25">
      <c r="A66">
        <v>10101</v>
      </c>
      <c r="B66" s="2" t="s">
        <v>92</v>
      </c>
      <c r="C66" s="2" t="s">
        <v>92</v>
      </c>
      <c r="D66" s="2" t="s">
        <v>93</v>
      </c>
      <c r="E66" s="4">
        <v>0</v>
      </c>
    </row>
    <row r="67" spans="1:5" x14ac:dyDescent="0.25">
      <c r="A67">
        <v>40301</v>
      </c>
      <c r="B67" s="2" t="s">
        <v>205</v>
      </c>
      <c r="C67" s="2" t="s">
        <v>222</v>
      </c>
      <c r="D67" s="2" t="s">
        <v>223</v>
      </c>
      <c r="E67" s="4">
        <v>4</v>
      </c>
    </row>
    <row r="68" spans="1:5" x14ac:dyDescent="0.25">
      <c r="A68">
        <v>40401</v>
      </c>
      <c r="B68" s="2" t="s">
        <v>205</v>
      </c>
      <c r="C68" s="2" t="s">
        <v>231</v>
      </c>
      <c r="D68" s="2" t="s">
        <v>232</v>
      </c>
      <c r="E68" s="4">
        <v>3</v>
      </c>
    </row>
    <row r="69" spans="1:5" x14ac:dyDescent="0.25">
      <c r="A69">
        <v>90403</v>
      </c>
      <c r="B69" s="2" t="s">
        <v>508</v>
      </c>
      <c r="C69" s="2" t="s">
        <v>425</v>
      </c>
      <c r="D69" s="2" t="s">
        <v>535</v>
      </c>
      <c r="E69" s="4"/>
    </row>
    <row r="70" spans="1:5" x14ac:dyDescent="0.25">
      <c r="A70">
        <v>41002</v>
      </c>
      <c r="B70" s="2" t="s">
        <v>205</v>
      </c>
      <c r="C70" s="2" t="s">
        <v>275</v>
      </c>
      <c r="D70" s="2" t="s">
        <v>277</v>
      </c>
      <c r="E70" s="4"/>
    </row>
    <row r="71" spans="1:5" x14ac:dyDescent="0.25">
      <c r="A71">
        <v>80602</v>
      </c>
      <c r="B71" s="2" t="s">
        <v>451</v>
      </c>
      <c r="C71" s="2" t="s">
        <v>467</v>
      </c>
      <c r="D71" s="2" t="s">
        <v>469</v>
      </c>
      <c r="E71" s="4"/>
    </row>
    <row r="72" spans="1:5" x14ac:dyDescent="0.25">
      <c r="A72">
        <v>80602</v>
      </c>
      <c r="B72" s="2" t="s">
        <v>451</v>
      </c>
      <c r="C72" s="2" t="s">
        <v>467</v>
      </c>
      <c r="D72" s="2" t="s">
        <v>469</v>
      </c>
      <c r="E72" s="4"/>
    </row>
    <row r="73" spans="1:5" x14ac:dyDescent="0.25">
      <c r="A73">
        <v>30103</v>
      </c>
      <c r="B73" s="2" t="s">
        <v>164</v>
      </c>
      <c r="C73" s="2" t="s">
        <v>164</v>
      </c>
      <c r="D73" s="2" t="s">
        <v>167</v>
      </c>
      <c r="E73" s="4">
        <v>4</v>
      </c>
    </row>
    <row r="74" spans="1:5" x14ac:dyDescent="0.25">
      <c r="A74">
        <v>130403</v>
      </c>
      <c r="B74" s="2" t="s">
        <v>732</v>
      </c>
      <c r="C74" s="2" t="s">
        <v>753</v>
      </c>
      <c r="D74" s="2" t="s">
        <v>756</v>
      </c>
      <c r="E74" s="4"/>
    </row>
    <row r="75" spans="1:5" ht="24" x14ac:dyDescent="0.25">
      <c r="A75">
        <v>120501</v>
      </c>
      <c r="B75" s="2" t="s">
        <v>608</v>
      </c>
      <c r="C75" s="2" t="s">
        <v>645</v>
      </c>
      <c r="D75" s="2" t="s">
        <v>646</v>
      </c>
      <c r="E75" s="4"/>
    </row>
    <row r="76" spans="1:5" x14ac:dyDescent="0.25">
      <c r="A76">
        <v>40503</v>
      </c>
      <c r="B76" s="2" t="s">
        <v>205</v>
      </c>
      <c r="C76" s="2" t="s">
        <v>237</v>
      </c>
      <c r="D76" s="2" t="s">
        <v>237</v>
      </c>
      <c r="E76" s="4">
        <v>8</v>
      </c>
    </row>
    <row r="77" spans="1:5" ht="24" x14ac:dyDescent="0.25">
      <c r="A77">
        <v>120802</v>
      </c>
      <c r="B77" s="2" t="s">
        <v>608</v>
      </c>
      <c r="C77" s="2" t="s">
        <v>720</v>
      </c>
      <c r="D77" s="2" t="s">
        <v>722</v>
      </c>
      <c r="E77" s="4">
        <v>11</v>
      </c>
    </row>
    <row r="78" spans="1:5" x14ac:dyDescent="0.25">
      <c r="A78">
        <v>130107</v>
      </c>
      <c r="B78" s="2" t="s">
        <v>732</v>
      </c>
      <c r="C78" s="2" t="s">
        <v>733</v>
      </c>
      <c r="D78" s="2" t="s">
        <v>739</v>
      </c>
      <c r="E78" s="4">
        <v>173</v>
      </c>
    </row>
    <row r="79" spans="1:5" x14ac:dyDescent="0.25">
      <c r="A79">
        <v>130107</v>
      </c>
      <c r="B79" s="2" t="s">
        <v>732</v>
      </c>
      <c r="C79" s="2" t="s">
        <v>733</v>
      </c>
      <c r="D79" s="2" t="s">
        <v>739</v>
      </c>
      <c r="E79" s="4">
        <v>173</v>
      </c>
    </row>
    <row r="80" spans="1:5" x14ac:dyDescent="0.25">
      <c r="A80">
        <v>20210</v>
      </c>
      <c r="B80" s="2" t="s">
        <v>116</v>
      </c>
      <c r="C80" s="2" t="s">
        <v>123</v>
      </c>
      <c r="D80" s="2" t="s">
        <v>133</v>
      </c>
      <c r="E80" s="4">
        <v>1</v>
      </c>
    </row>
    <row r="81" spans="1:5" x14ac:dyDescent="0.25">
      <c r="A81">
        <v>20202</v>
      </c>
      <c r="B81" s="2" t="s">
        <v>116</v>
      </c>
      <c r="C81" s="2" t="s">
        <v>123</v>
      </c>
      <c r="D81" s="2" t="s">
        <v>125</v>
      </c>
      <c r="E81" s="4">
        <v>0</v>
      </c>
    </row>
    <row r="82" spans="1:5" x14ac:dyDescent="0.25">
      <c r="A82">
        <v>60502</v>
      </c>
      <c r="B82" s="2" t="s">
        <v>321</v>
      </c>
      <c r="C82" s="2" t="s">
        <v>352</v>
      </c>
      <c r="D82" s="2" t="s">
        <v>125</v>
      </c>
      <c r="E82" s="4"/>
    </row>
    <row r="83" spans="1:5" x14ac:dyDescent="0.25">
      <c r="A83">
        <v>130404</v>
      </c>
      <c r="B83" s="2" t="s">
        <v>732</v>
      </c>
      <c r="C83" s="2" t="s">
        <v>753</v>
      </c>
      <c r="D83" s="2" t="s">
        <v>125</v>
      </c>
      <c r="E83" s="4"/>
    </row>
    <row r="84" spans="1:5" x14ac:dyDescent="0.25">
      <c r="A84">
        <v>30402</v>
      </c>
      <c r="B84" s="2" t="s">
        <v>164</v>
      </c>
      <c r="C84" s="2" t="s">
        <v>192</v>
      </c>
      <c r="D84" s="2" t="s">
        <v>194</v>
      </c>
      <c r="E84" s="4"/>
    </row>
    <row r="85" spans="1:5" x14ac:dyDescent="0.25">
      <c r="A85">
        <v>80814</v>
      </c>
      <c r="B85" s="2" t="s">
        <v>451</v>
      </c>
      <c r="C85" s="2" t="s">
        <v>451</v>
      </c>
      <c r="D85" s="2" t="s">
        <v>482</v>
      </c>
      <c r="E85" s="4">
        <v>35</v>
      </c>
    </row>
    <row r="86" spans="1:5" x14ac:dyDescent="0.25">
      <c r="A86">
        <v>80815</v>
      </c>
      <c r="B86" s="2" t="s">
        <v>451</v>
      </c>
      <c r="C86" s="2" t="s">
        <v>451</v>
      </c>
      <c r="D86" s="2" t="s">
        <v>482</v>
      </c>
      <c r="E86" s="4">
        <v>35</v>
      </c>
    </row>
    <row r="87" spans="1:5" x14ac:dyDescent="0.25">
      <c r="A87">
        <v>130302</v>
      </c>
      <c r="B87" s="2" t="s">
        <v>732</v>
      </c>
      <c r="C87" s="2" t="s">
        <v>741</v>
      </c>
      <c r="D87" s="2" t="s">
        <v>743</v>
      </c>
      <c r="E87" s="4">
        <v>1</v>
      </c>
    </row>
    <row r="88" spans="1:5" ht="24" x14ac:dyDescent="0.25">
      <c r="A88">
        <v>120610</v>
      </c>
      <c r="B88" s="2" t="s">
        <v>608</v>
      </c>
      <c r="C88" s="2" t="s">
        <v>655</v>
      </c>
      <c r="D88" s="2" t="s">
        <v>718</v>
      </c>
      <c r="E88" s="4"/>
    </row>
    <row r="89" spans="1:5" x14ac:dyDescent="0.25">
      <c r="A89">
        <v>40402</v>
      </c>
      <c r="B89" s="2" t="s">
        <v>205</v>
      </c>
      <c r="C89" s="2" t="s">
        <v>231</v>
      </c>
      <c r="D89" s="2" t="s">
        <v>233</v>
      </c>
      <c r="E89" s="4"/>
    </row>
    <row r="90" spans="1:5" x14ac:dyDescent="0.25">
      <c r="A90">
        <v>91103</v>
      </c>
      <c r="B90" s="2" t="s">
        <v>508</v>
      </c>
      <c r="C90" s="2" t="s">
        <v>583</v>
      </c>
      <c r="D90" s="2" t="s">
        <v>585</v>
      </c>
      <c r="E90" s="4">
        <v>146</v>
      </c>
    </row>
    <row r="91" spans="1:5" x14ac:dyDescent="0.25">
      <c r="A91">
        <v>90201</v>
      </c>
      <c r="B91" s="2" t="s">
        <v>508</v>
      </c>
      <c r="C91" s="2" t="s">
        <v>515</v>
      </c>
      <c r="D91" s="2" t="s">
        <v>516</v>
      </c>
      <c r="E91" s="4"/>
    </row>
    <row r="92" spans="1:5" x14ac:dyDescent="0.25">
      <c r="A92">
        <v>90902</v>
      </c>
      <c r="B92" s="2" t="s">
        <v>508</v>
      </c>
      <c r="C92" s="2" t="s">
        <v>564</v>
      </c>
      <c r="D92" s="2" t="s">
        <v>566</v>
      </c>
      <c r="E92" s="4"/>
    </row>
    <row r="93" spans="1:5" ht="24" x14ac:dyDescent="0.25">
      <c r="A93">
        <v>120103</v>
      </c>
      <c r="B93" s="2" t="s">
        <v>608</v>
      </c>
      <c r="C93" s="2" t="s">
        <v>609</v>
      </c>
      <c r="D93" s="2" t="s">
        <v>612</v>
      </c>
      <c r="E93" s="4"/>
    </row>
    <row r="94" spans="1:5" x14ac:dyDescent="0.25">
      <c r="A94">
        <v>70710</v>
      </c>
      <c r="B94" s="2" t="s">
        <v>374</v>
      </c>
      <c r="C94" s="2" t="s">
        <v>439</v>
      </c>
      <c r="D94" s="2" t="s">
        <v>449</v>
      </c>
      <c r="E94" s="4"/>
    </row>
    <row r="95" spans="1:5" x14ac:dyDescent="0.25">
      <c r="A95">
        <v>50102</v>
      </c>
      <c r="B95" s="2" t="s">
        <v>301</v>
      </c>
      <c r="C95" s="2" t="s">
        <v>302</v>
      </c>
      <c r="D95" s="2" t="s">
        <v>311</v>
      </c>
      <c r="E95" s="4"/>
    </row>
    <row r="96" spans="1:5" x14ac:dyDescent="0.25">
      <c r="A96">
        <v>50102</v>
      </c>
      <c r="B96" s="2" t="s">
        <v>301</v>
      </c>
      <c r="C96" s="2" t="s">
        <v>302</v>
      </c>
      <c r="D96" s="2" t="s">
        <v>311</v>
      </c>
      <c r="E96" s="4"/>
    </row>
    <row r="97" spans="1:5" x14ac:dyDescent="0.25">
      <c r="A97">
        <v>130303</v>
      </c>
      <c r="B97" s="2" t="s">
        <v>732</v>
      </c>
      <c r="C97" s="2" t="s">
        <v>741</v>
      </c>
      <c r="D97" s="2" t="s">
        <v>744</v>
      </c>
      <c r="E97" s="4">
        <v>1</v>
      </c>
    </row>
    <row r="98" spans="1:5" x14ac:dyDescent="0.25">
      <c r="A98">
        <v>70703</v>
      </c>
      <c r="B98" s="2" t="s">
        <v>374</v>
      </c>
      <c r="C98" s="2" t="s">
        <v>439</v>
      </c>
      <c r="D98" s="2" t="s">
        <v>442</v>
      </c>
      <c r="E98" s="4"/>
    </row>
    <row r="99" spans="1:5" x14ac:dyDescent="0.25">
      <c r="A99">
        <v>41003</v>
      </c>
      <c r="B99" s="2" t="s">
        <v>205</v>
      </c>
      <c r="C99" s="2" t="s">
        <v>275</v>
      </c>
      <c r="D99" s="2" t="s">
        <v>278</v>
      </c>
      <c r="E99" s="4">
        <v>1</v>
      </c>
    </row>
    <row r="100" spans="1:5" x14ac:dyDescent="0.25">
      <c r="A100">
        <v>20602</v>
      </c>
      <c r="B100" s="2" t="s">
        <v>116</v>
      </c>
      <c r="C100" s="2" t="s">
        <v>154</v>
      </c>
      <c r="D100" s="2" t="s">
        <v>156</v>
      </c>
      <c r="E100" s="4">
        <v>3</v>
      </c>
    </row>
    <row r="101" spans="1:5" ht="24" x14ac:dyDescent="0.25">
      <c r="A101">
        <v>120708</v>
      </c>
      <c r="B101" s="2" t="s">
        <v>608</v>
      </c>
      <c r="C101" s="2" t="s">
        <v>660</v>
      </c>
      <c r="D101" s="2" t="s">
        <v>156</v>
      </c>
      <c r="E101" s="4">
        <v>0</v>
      </c>
    </row>
    <row r="102" spans="1:5" x14ac:dyDescent="0.25">
      <c r="A102">
        <v>90301</v>
      </c>
      <c r="B102" s="2" t="s">
        <v>508</v>
      </c>
      <c r="C102" s="2" t="s">
        <v>526</v>
      </c>
      <c r="D102" s="2" t="s">
        <v>527</v>
      </c>
      <c r="E102" s="4">
        <v>4</v>
      </c>
    </row>
    <row r="103" spans="1:5" x14ac:dyDescent="0.25">
      <c r="A103">
        <v>80502</v>
      </c>
      <c r="B103" s="2" t="s">
        <v>451</v>
      </c>
      <c r="C103" s="2" t="s">
        <v>330</v>
      </c>
      <c r="D103" s="2" t="s">
        <v>460</v>
      </c>
      <c r="E103" s="4">
        <v>3</v>
      </c>
    </row>
    <row r="104" spans="1:5" x14ac:dyDescent="0.25">
      <c r="A104">
        <v>40108</v>
      </c>
      <c r="B104" s="2" t="s">
        <v>205</v>
      </c>
      <c r="C104" s="2" t="s">
        <v>206</v>
      </c>
      <c r="D104" s="2" t="s">
        <v>214</v>
      </c>
      <c r="E104" s="4"/>
    </row>
    <row r="105" spans="1:5" x14ac:dyDescent="0.25">
      <c r="A105">
        <v>91007</v>
      </c>
      <c r="B105" s="2" t="s">
        <v>508</v>
      </c>
      <c r="C105" s="2" t="s">
        <v>573</v>
      </c>
      <c r="D105" s="2" t="s">
        <v>579</v>
      </c>
      <c r="E105" s="4">
        <v>26</v>
      </c>
    </row>
    <row r="106" spans="1:5" x14ac:dyDescent="0.25">
      <c r="A106">
        <v>20402</v>
      </c>
      <c r="B106" s="2" t="s">
        <v>116</v>
      </c>
      <c r="C106" s="2" t="s">
        <v>141</v>
      </c>
      <c r="D106" s="2" t="s">
        <v>143</v>
      </c>
      <c r="E106" s="4"/>
    </row>
    <row r="107" spans="1:5" x14ac:dyDescent="0.25">
      <c r="A107">
        <v>130301</v>
      </c>
      <c r="B107" s="2" t="s">
        <v>732</v>
      </c>
      <c r="C107" s="2" t="s">
        <v>741</v>
      </c>
      <c r="D107" s="2" t="s">
        <v>742</v>
      </c>
      <c r="E107" s="4">
        <v>9</v>
      </c>
    </row>
    <row r="108" spans="1:5" x14ac:dyDescent="0.25">
      <c r="A108">
        <v>91009</v>
      </c>
      <c r="B108" s="2" t="s">
        <v>508</v>
      </c>
      <c r="C108" s="2" t="s">
        <v>573</v>
      </c>
      <c r="D108" s="2" t="s">
        <v>580</v>
      </c>
      <c r="E108" s="4">
        <v>0</v>
      </c>
    </row>
    <row r="109" spans="1:5" ht="24" x14ac:dyDescent="0.25">
      <c r="A109">
        <v>120202</v>
      </c>
      <c r="B109" s="2" t="s">
        <v>608</v>
      </c>
      <c r="C109" s="2" t="s">
        <v>618</v>
      </c>
      <c r="D109" s="2" t="s">
        <v>620</v>
      </c>
      <c r="E109" s="4"/>
    </row>
    <row r="110" spans="1:5" x14ac:dyDescent="0.25">
      <c r="A110">
        <v>30104</v>
      </c>
      <c r="B110" s="2" t="s">
        <v>164</v>
      </c>
      <c r="C110" s="2" t="s">
        <v>164</v>
      </c>
      <c r="D110" s="2" t="s">
        <v>168</v>
      </c>
      <c r="E110" s="4">
        <v>34</v>
      </c>
    </row>
    <row r="111" spans="1:5" x14ac:dyDescent="0.25">
      <c r="A111">
        <v>91104</v>
      </c>
      <c r="B111" s="2" t="s">
        <v>508</v>
      </c>
      <c r="C111" s="2" t="s">
        <v>583</v>
      </c>
      <c r="D111" s="2" t="s">
        <v>586</v>
      </c>
      <c r="E111" s="4"/>
    </row>
    <row r="112" spans="1:5" x14ac:dyDescent="0.25">
      <c r="A112">
        <v>90705</v>
      </c>
      <c r="B112" s="2" t="s">
        <v>508</v>
      </c>
      <c r="C112" s="2" t="s">
        <v>556</v>
      </c>
      <c r="D112" s="2" t="s">
        <v>559</v>
      </c>
      <c r="E112" s="4"/>
    </row>
    <row r="113" spans="1:5" x14ac:dyDescent="0.25">
      <c r="A113">
        <v>10103</v>
      </c>
      <c r="B113" s="2" t="s">
        <v>92</v>
      </c>
      <c r="C113" s="2" t="s">
        <v>92</v>
      </c>
      <c r="D113" s="2" t="s">
        <v>95</v>
      </c>
      <c r="E113" s="4"/>
    </row>
    <row r="114" spans="1:5" x14ac:dyDescent="0.25">
      <c r="A114">
        <v>90606</v>
      </c>
      <c r="B114" s="2" t="s">
        <v>508</v>
      </c>
      <c r="C114" s="2" t="s">
        <v>548</v>
      </c>
      <c r="D114" s="2" t="s">
        <v>553</v>
      </c>
      <c r="E114" s="4"/>
    </row>
    <row r="115" spans="1:5" x14ac:dyDescent="0.25">
      <c r="A115">
        <v>130304</v>
      </c>
      <c r="B115" s="2" t="s">
        <v>732</v>
      </c>
      <c r="C115" s="2" t="s">
        <v>741</v>
      </c>
      <c r="D115" s="2" t="s">
        <v>752</v>
      </c>
      <c r="E115" s="4">
        <v>1</v>
      </c>
    </row>
    <row r="116" spans="1:5" ht="24" x14ac:dyDescent="0.25">
      <c r="A116">
        <v>120104</v>
      </c>
      <c r="B116" s="2" t="s">
        <v>608</v>
      </c>
      <c r="C116" s="2" t="s">
        <v>609</v>
      </c>
      <c r="D116" s="2" t="s">
        <v>613</v>
      </c>
      <c r="E116" s="4">
        <v>0</v>
      </c>
    </row>
    <row r="117" spans="1:5" ht="24" x14ac:dyDescent="0.25">
      <c r="A117">
        <v>120304</v>
      </c>
      <c r="B117" s="2" t="s">
        <v>608</v>
      </c>
      <c r="C117" s="2" t="s">
        <v>627</v>
      </c>
      <c r="D117" s="2" t="s">
        <v>631</v>
      </c>
      <c r="E117" s="4">
        <v>1</v>
      </c>
    </row>
    <row r="118" spans="1:5" x14ac:dyDescent="0.25">
      <c r="A118">
        <v>90502</v>
      </c>
      <c r="B118" s="2" t="s">
        <v>508</v>
      </c>
      <c r="C118" s="2" t="s">
        <v>426</v>
      </c>
      <c r="D118" s="2" t="s">
        <v>539</v>
      </c>
      <c r="E118" s="4"/>
    </row>
    <row r="119" spans="1:5" ht="24" x14ac:dyDescent="0.25">
      <c r="A119">
        <v>120105</v>
      </c>
      <c r="B119" s="2" t="s">
        <v>608</v>
      </c>
      <c r="C119" s="2" t="s">
        <v>609</v>
      </c>
      <c r="D119" s="2" t="s">
        <v>614</v>
      </c>
      <c r="E119" s="4"/>
    </row>
    <row r="120" spans="1:5" ht="24" x14ac:dyDescent="0.25">
      <c r="A120">
        <v>120401</v>
      </c>
      <c r="B120" s="2" t="s">
        <v>608</v>
      </c>
      <c r="C120" s="2" t="s">
        <v>639</v>
      </c>
      <c r="D120" s="2" t="s">
        <v>640</v>
      </c>
      <c r="E120" s="4"/>
    </row>
    <row r="121" spans="1:5" x14ac:dyDescent="0.25">
      <c r="A121">
        <v>60402</v>
      </c>
      <c r="B121" s="2" t="s">
        <v>321</v>
      </c>
      <c r="C121" s="2" t="s">
        <v>345</v>
      </c>
      <c r="D121" s="2" t="s">
        <v>347</v>
      </c>
      <c r="E121" s="4"/>
    </row>
    <row r="122" spans="1:5" ht="24" x14ac:dyDescent="0.25">
      <c r="A122">
        <v>120504</v>
      </c>
      <c r="B122" s="2" t="s">
        <v>608</v>
      </c>
      <c r="C122" s="2" t="s">
        <v>645</v>
      </c>
      <c r="D122" s="2" t="s">
        <v>649</v>
      </c>
      <c r="E122" s="4"/>
    </row>
    <row r="123" spans="1:5" x14ac:dyDescent="0.25">
      <c r="A123">
        <v>90302</v>
      </c>
      <c r="B123" s="2" t="s">
        <v>508</v>
      </c>
      <c r="C123" s="2" t="s">
        <v>526</v>
      </c>
      <c r="D123" s="2" t="s">
        <v>528</v>
      </c>
      <c r="E123" s="4"/>
    </row>
    <row r="124" spans="1:5" ht="24" x14ac:dyDescent="0.25">
      <c r="A124">
        <v>120305</v>
      </c>
      <c r="B124" s="2" t="s">
        <v>608</v>
      </c>
      <c r="C124" s="2" t="s">
        <v>627</v>
      </c>
      <c r="D124" s="2" t="s">
        <v>632</v>
      </c>
      <c r="E124" s="4"/>
    </row>
    <row r="125" spans="1:5" x14ac:dyDescent="0.25">
      <c r="A125">
        <v>41402</v>
      </c>
      <c r="B125" s="2" t="s">
        <v>205</v>
      </c>
      <c r="C125" s="2" t="s">
        <v>689</v>
      </c>
      <c r="D125" s="2" t="s">
        <v>691</v>
      </c>
      <c r="E125" s="4"/>
    </row>
    <row r="126" spans="1:5" x14ac:dyDescent="0.25">
      <c r="A126">
        <v>130108</v>
      </c>
      <c r="B126" s="2" t="s">
        <v>732</v>
      </c>
      <c r="C126" s="2" t="s">
        <v>733</v>
      </c>
      <c r="D126" s="2" t="s">
        <v>740</v>
      </c>
      <c r="E126" s="4">
        <v>76</v>
      </c>
    </row>
    <row r="127" spans="1:5" x14ac:dyDescent="0.25">
      <c r="A127">
        <v>41303</v>
      </c>
      <c r="B127" s="2" t="s">
        <v>205</v>
      </c>
      <c r="C127" s="2" t="s">
        <v>292</v>
      </c>
      <c r="D127" s="2" t="s">
        <v>295</v>
      </c>
      <c r="E127" s="4"/>
    </row>
    <row r="128" spans="1:5" x14ac:dyDescent="0.25">
      <c r="A128">
        <v>130401</v>
      </c>
      <c r="B128" s="2" t="s">
        <v>732</v>
      </c>
      <c r="C128" s="2" t="s">
        <v>753</v>
      </c>
      <c r="D128" s="2" t="s">
        <v>754</v>
      </c>
      <c r="E128" s="4">
        <v>2</v>
      </c>
    </row>
    <row r="129" spans="1:5" x14ac:dyDescent="0.25">
      <c r="A129">
        <v>10201</v>
      </c>
      <c r="B129" s="2" t="s">
        <v>92</v>
      </c>
      <c r="C129" s="2" t="s">
        <v>100</v>
      </c>
      <c r="D129" s="2" t="s">
        <v>101</v>
      </c>
      <c r="E129" s="4">
        <v>12</v>
      </c>
    </row>
    <row r="130" spans="1:5" x14ac:dyDescent="0.25">
      <c r="A130">
        <v>50103</v>
      </c>
      <c r="B130" s="2" t="s">
        <v>301</v>
      </c>
      <c r="C130" s="2" t="s">
        <v>302</v>
      </c>
      <c r="D130" s="2" t="s">
        <v>302</v>
      </c>
      <c r="E130" s="4"/>
    </row>
    <row r="131" spans="1:5" x14ac:dyDescent="0.25">
      <c r="A131">
        <v>50103</v>
      </c>
      <c r="B131" s="2" t="s">
        <v>301</v>
      </c>
      <c r="C131" s="2" t="s">
        <v>302</v>
      </c>
      <c r="D131" s="2" t="s">
        <v>302</v>
      </c>
      <c r="E131" s="4"/>
    </row>
    <row r="132" spans="1:5" x14ac:dyDescent="0.25">
      <c r="A132">
        <v>80506</v>
      </c>
      <c r="B132" s="2" t="s">
        <v>451</v>
      </c>
      <c r="C132" s="2" t="s">
        <v>330</v>
      </c>
      <c r="D132" s="2" t="s">
        <v>463</v>
      </c>
      <c r="E132" s="4"/>
    </row>
    <row r="133" spans="1:5" x14ac:dyDescent="0.25">
      <c r="A133">
        <v>60202</v>
      </c>
      <c r="B133" s="2" t="s">
        <v>321</v>
      </c>
      <c r="C133" s="2" t="s">
        <v>328</v>
      </c>
      <c r="D133" s="2" t="s">
        <v>330</v>
      </c>
      <c r="E133" s="4"/>
    </row>
    <row r="134" spans="1:5" x14ac:dyDescent="0.25">
      <c r="A134">
        <v>80501</v>
      </c>
      <c r="B134" s="2" t="s">
        <v>451</v>
      </c>
      <c r="C134" s="2" t="s">
        <v>330</v>
      </c>
      <c r="D134" s="2" t="s">
        <v>459</v>
      </c>
      <c r="E134" s="4">
        <v>93</v>
      </c>
    </row>
    <row r="135" spans="1:5" x14ac:dyDescent="0.25">
      <c r="A135">
        <v>130405</v>
      </c>
      <c r="B135" s="2" t="s">
        <v>732</v>
      </c>
      <c r="C135" s="2" t="s">
        <v>753</v>
      </c>
      <c r="D135" s="2" t="s">
        <v>757</v>
      </c>
      <c r="E135" s="4"/>
    </row>
    <row r="136" spans="1:5" ht="24" x14ac:dyDescent="0.25">
      <c r="A136">
        <v>120301</v>
      </c>
      <c r="B136" s="2" t="s">
        <v>608</v>
      </c>
      <c r="C136" s="2" t="s">
        <v>627</v>
      </c>
      <c r="D136" s="2" t="s">
        <v>628</v>
      </c>
      <c r="E136" s="4">
        <v>0</v>
      </c>
    </row>
    <row r="137" spans="1:5" x14ac:dyDescent="0.25">
      <c r="A137">
        <v>20604</v>
      </c>
      <c r="B137" s="2" t="s">
        <v>116</v>
      </c>
      <c r="C137" s="2" t="s">
        <v>154</v>
      </c>
      <c r="D137" s="2" t="s">
        <v>157</v>
      </c>
      <c r="E137" s="4">
        <v>0</v>
      </c>
    </row>
    <row r="138" spans="1:5" x14ac:dyDescent="0.25">
      <c r="A138">
        <v>80815</v>
      </c>
      <c r="B138" s="2" t="s">
        <v>451</v>
      </c>
      <c r="C138" s="2" t="s">
        <v>451</v>
      </c>
      <c r="D138" s="2" t="s">
        <v>483</v>
      </c>
      <c r="E138" s="4">
        <v>199</v>
      </c>
    </row>
    <row r="139" spans="1:5" x14ac:dyDescent="0.25">
      <c r="A139">
        <v>80601</v>
      </c>
      <c r="B139" s="2" t="s">
        <v>451</v>
      </c>
      <c r="C139" s="2" t="s">
        <v>467</v>
      </c>
      <c r="D139" s="2" t="s">
        <v>468</v>
      </c>
      <c r="E139" s="4"/>
    </row>
    <row r="140" spans="1:5" x14ac:dyDescent="0.25">
      <c r="A140">
        <v>40604</v>
      </c>
      <c r="B140" s="2" t="s">
        <v>205</v>
      </c>
      <c r="C140" s="2" t="s">
        <v>247</v>
      </c>
      <c r="D140" s="2" t="s">
        <v>205</v>
      </c>
      <c r="E140" s="4"/>
    </row>
    <row r="141" spans="1:5" x14ac:dyDescent="0.25">
      <c r="A141">
        <v>10301</v>
      </c>
      <c r="B141" s="2" t="s">
        <v>92</v>
      </c>
      <c r="C141" s="2" t="s">
        <v>109</v>
      </c>
      <c r="D141" s="2" t="s">
        <v>110</v>
      </c>
      <c r="E141" s="4">
        <v>35</v>
      </c>
    </row>
    <row r="142" spans="1:5" x14ac:dyDescent="0.25">
      <c r="A142">
        <v>90203</v>
      </c>
      <c r="B142" s="2" t="s">
        <v>508</v>
      </c>
      <c r="C142" s="2" t="s">
        <v>515</v>
      </c>
      <c r="D142" s="2" t="s">
        <v>518</v>
      </c>
      <c r="E142" s="4"/>
    </row>
    <row r="143" spans="1:5" x14ac:dyDescent="0.25">
      <c r="A143">
        <v>60101</v>
      </c>
      <c r="B143" s="2" t="s">
        <v>321</v>
      </c>
      <c r="C143" s="2" t="s">
        <v>322</v>
      </c>
      <c r="D143" s="2" t="s">
        <v>323</v>
      </c>
      <c r="E143" s="4">
        <v>2</v>
      </c>
    </row>
    <row r="144" spans="1:5" x14ac:dyDescent="0.25">
      <c r="A144">
        <v>60203</v>
      </c>
      <c r="B144" s="2" t="s">
        <v>321</v>
      </c>
      <c r="C144" s="2" t="s">
        <v>328</v>
      </c>
      <c r="D144" s="2" t="s">
        <v>331</v>
      </c>
      <c r="E144" s="4"/>
    </row>
    <row r="145" spans="1:5" x14ac:dyDescent="0.25">
      <c r="A145">
        <v>70405</v>
      </c>
      <c r="B145" s="2" t="s">
        <v>374</v>
      </c>
      <c r="C145" s="2" t="s">
        <v>418</v>
      </c>
      <c r="D145" s="2" t="s">
        <v>423</v>
      </c>
      <c r="E145" s="4"/>
    </row>
    <row r="146" spans="1:5" x14ac:dyDescent="0.25">
      <c r="A146">
        <v>60702</v>
      </c>
      <c r="B146" s="2" t="s">
        <v>321</v>
      </c>
      <c r="C146" s="2" t="s">
        <v>368</v>
      </c>
      <c r="D146" s="2" t="s">
        <v>370</v>
      </c>
      <c r="E146" s="4"/>
    </row>
    <row r="147" spans="1:5" x14ac:dyDescent="0.25">
      <c r="A147">
        <v>130305</v>
      </c>
      <c r="B147" s="2" t="s">
        <v>732</v>
      </c>
      <c r="C147" s="2" t="s">
        <v>741</v>
      </c>
      <c r="D147" s="2" t="s">
        <v>746</v>
      </c>
      <c r="E147" s="4"/>
    </row>
    <row r="148" spans="1:5" x14ac:dyDescent="0.25">
      <c r="A148">
        <v>130306</v>
      </c>
      <c r="B148" s="2" t="s">
        <v>732</v>
      </c>
      <c r="C148" s="2" t="s">
        <v>741</v>
      </c>
      <c r="D148" s="2" t="s">
        <v>747</v>
      </c>
      <c r="E148" s="4"/>
    </row>
    <row r="149" spans="1:5" x14ac:dyDescent="0.25">
      <c r="A149">
        <v>30105</v>
      </c>
      <c r="B149" s="2" t="s">
        <v>164</v>
      </c>
      <c r="C149" s="2" t="s">
        <v>164</v>
      </c>
      <c r="D149" s="2" t="s">
        <v>169</v>
      </c>
      <c r="E149" s="4"/>
    </row>
    <row r="150" spans="1:5" ht="24" x14ac:dyDescent="0.25">
      <c r="A150">
        <v>110101</v>
      </c>
      <c r="B150" s="2" t="s">
        <v>601</v>
      </c>
      <c r="C150" s="2" t="s">
        <v>602</v>
      </c>
      <c r="D150" s="2" t="s">
        <v>603</v>
      </c>
      <c r="E150" s="4">
        <v>0</v>
      </c>
    </row>
    <row r="151" spans="1:5" x14ac:dyDescent="0.25">
      <c r="A151">
        <v>40603</v>
      </c>
      <c r="B151" s="2" t="s">
        <v>205</v>
      </c>
      <c r="C151" s="2" t="s">
        <v>247</v>
      </c>
      <c r="D151" s="2" t="s">
        <v>250</v>
      </c>
      <c r="E151" s="4"/>
    </row>
    <row r="152" spans="1:5" x14ac:dyDescent="0.25">
      <c r="A152">
        <v>10208</v>
      </c>
      <c r="B152" s="2" t="s">
        <v>92</v>
      </c>
      <c r="C152" s="2" t="s">
        <v>100</v>
      </c>
      <c r="D152" s="2" t="s">
        <v>106</v>
      </c>
      <c r="E152" s="4"/>
    </row>
    <row r="153" spans="1:5" x14ac:dyDescent="0.25">
      <c r="A153">
        <v>20603</v>
      </c>
      <c r="B153" s="2" t="s">
        <v>116</v>
      </c>
      <c r="C153" s="2" t="s">
        <v>154</v>
      </c>
      <c r="D153" s="2" t="s">
        <v>116</v>
      </c>
      <c r="E153" s="4"/>
    </row>
    <row r="154" spans="1:5" x14ac:dyDescent="0.25">
      <c r="A154">
        <v>30302</v>
      </c>
      <c r="B154" s="2" t="s">
        <v>164</v>
      </c>
      <c r="C154" s="2" t="s">
        <v>187</v>
      </c>
      <c r="D154" s="2" t="s">
        <v>189</v>
      </c>
      <c r="E154" s="4"/>
    </row>
    <row r="155" spans="1:5" ht="24" x14ac:dyDescent="0.25">
      <c r="A155">
        <v>80507</v>
      </c>
      <c r="B155" s="2" t="s">
        <v>451</v>
      </c>
      <c r="C155" s="2" t="s">
        <v>330</v>
      </c>
      <c r="D155" s="2" t="s">
        <v>465</v>
      </c>
      <c r="E155" s="4">
        <v>0</v>
      </c>
    </row>
    <row r="156" spans="1:5" ht="24" x14ac:dyDescent="0.25">
      <c r="A156">
        <v>80507</v>
      </c>
      <c r="B156" s="2" t="s">
        <v>451</v>
      </c>
      <c r="C156" s="2" t="s">
        <v>330</v>
      </c>
      <c r="D156" s="2" t="s">
        <v>465</v>
      </c>
      <c r="E156" s="4">
        <v>0</v>
      </c>
    </row>
    <row r="157" spans="1:5" x14ac:dyDescent="0.25">
      <c r="A157">
        <v>50209</v>
      </c>
      <c r="B157" s="2" t="s">
        <v>301</v>
      </c>
      <c r="C157" s="2" t="s">
        <v>312</v>
      </c>
      <c r="D157" s="2" t="s">
        <v>320</v>
      </c>
      <c r="E157" s="4">
        <v>7</v>
      </c>
    </row>
    <row r="158" spans="1:5" x14ac:dyDescent="0.25">
      <c r="A158">
        <v>40303</v>
      </c>
      <c r="B158" s="2" t="s">
        <v>205</v>
      </c>
      <c r="C158" s="2" t="s">
        <v>222</v>
      </c>
      <c r="D158" s="2" t="s">
        <v>225</v>
      </c>
      <c r="E158" s="4"/>
    </row>
    <row r="159" spans="1:5" x14ac:dyDescent="0.25">
      <c r="A159">
        <v>70404</v>
      </c>
      <c r="B159" s="2" t="s">
        <v>374</v>
      </c>
      <c r="C159" s="2" t="s">
        <v>418</v>
      </c>
      <c r="D159" s="2" t="s">
        <v>422</v>
      </c>
      <c r="E159" s="4"/>
    </row>
    <row r="160" spans="1:5" x14ac:dyDescent="0.25">
      <c r="A160">
        <v>90503</v>
      </c>
      <c r="B160" s="2" t="s">
        <v>508</v>
      </c>
      <c r="C160" s="2" t="s">
        <v>426</v>
      </c>
      <c r="D160" s="2" t="s">
        <v>422</v>
      </c>
      <c r="E160" s="4"/>
    </row>
    <row r="161" spans="1:5" x14ac:dyDescent="0.25">
      <c r="A161">
        <v>90802</v>
      </c>
      <c r="B161" s="2" t="s">
        <v>508</v>
      </c>
      <c r="C161" s="2" t="s">
        <v>479</v>
      </c>
      <c r="D161" s="2" t="s">
        <v>561</v>
      </c>
      <c r="E161" s="4"/>
    </row>
    <row r="162" spans="1:5" x14ac:dyDescent="0.25">
      <c r="A162">
        <v>90607</v>
      </c>
      <c r="B162" s="2" t="s">
        <v>508</v>
      </c>
      <c r="C162" s="2" t="s">
        <v>548</v>
      </c>
      <c r="D162" s="2" t="s">
        <v>554</v>
      </c>
      <c r="E162" s="4">
        <v>0</v>
      </c>
    </row>
    <row r="163" spans="1:5" x14ac:dyDescent="0.25">
      <c r="A163">
        <v>30107</v>
      </c>
      <c r="B163" s="2" t="s">
        <v>164</v>
      </c>
      <c r="C163" s="2" t="s">
        <v>164</v>
      </c>
      <c r="D163" s="2" t="s">
        <v>170</v>
      </c>
      <c r="E163" s="4">
        <v>76</v>
      </c>
    </row>
    <row r="164" spans="1:5" x14ac:dyDescent="0.25">
      <c r="A164">
        <v>30107</v>
      </c>
      <c r="B164" s="2" t="s">
        <v>164</v>
      </c>
      <c r="C164" s="2" t="s">
        <v>164</v>
      </c>
      <c r="D164" s="2" t="s">
        <v>170</v>
      </c>
      <c r="E164" s="4">
        <v>76</v>
      </c>
    </row>
    <row r="165" spans="1:5" x14ac:dyDescent="0.25">
      <c r="A165">
        <v>30115</v>
      </c>
      <c r="B165" s="2" t="s">
        <v>164</v>
      </c>
      <c r="C165" s="2" t="s">
        <v>164</v>
      </c>
      <c r="D165" s="2" t="s">
        <v>680</v>
      </c>
      <c r="E165" s="4"/>
    </row>
    <row r="166" spans="1:5" x14ac:dyDescent="0.25">
      <c r="A166">
        <v>30502</v>
      </c>
      <c r="B166" s="2" t="s">
        <v>164</v>
      </c>
      <c r="C166" s="2" t="s">
        <v>198</v>
      </c>
      <c r="D166" s="2" t="s">
        <v>200</v>
      </c>
      <c r="E166" s="4"/>
    </row>
    <row r="167" spans="1:5" x14ac:dyDescent="0.25">
      <c r="A167">
        <v>50314</v>
      </c>
      <c r="B167" s="2" t="s">
        <v>301</v>
      </c>
      <c r="C167" s="2" t="s">
        <v>564</v>
      </c>
      <c r="D167" s="2" t="s">
        <v>697</v>
      </c>
      <c r="E167" s="4"/>
    </row>
    <row r="168" spans="1:5" x14ac:dyDescent="0.25">
      <c r="A168">
        <v>50314</v>
      </c>
      <c r="B168" s="2" t="s">
        <v>301</v>
      </c>
      <c r="C168" s="2" t="s">
        <v>564</v>
      </c>
      <c r="D168" s="2" t="s">
        <v>697</v>
      </c>
      <c r="E168" s="4"/>
    </row>
    <row r="169" spans="1:5" x14ac:dyDescent="0.25">
      <c r="A169">
        <v>41403</v>
      </c>
      <c r="B169" s="2" t="s">
        <v>205</v>
      </c>
      <c r="C169" s="2" t="s">
        <v>689</v>
      </c>
      <c r="D169" s="2" t="s">
        <v>692</v>
      </c>
      <c r="E169" s="4"/>
    </row>
    <row r="170" spans="1:5" x14ac:dyDescent="0.25">
      <c r="A170">
        <v>80805</v>
      </c>
      <c r="B170" s="2" t="s">
        <v>451</v>
      </c>
      <c r="C170" s="2" t="s">
        <v>451</v>
      </c>
      <c r="D170" s="2" t="s">
        <v>476</v>
      </c>
      <c r="E170" s="4">
        <v>264</v>
      </c>
    </row>
    <row r="171" spans="1:5" x14ac:dyDescent="0.25">
      <c r="A171">
        <v>40601</v>
      </c>
      <c r="B171" s="2" t="s">
        <v>205</v>
      </c>
      <c r="C171" s="2" t="s">
        <v>247</v>
      </c>
      <c r="D171" s="2" t="s">
        <v>248</v>
      </c>
      <c r="E171" s="4">
        <v>25</v>
      </c>
    </row>
    <row r="172" spans="1:5" x14ac:dyDescent="0.25">
      <c r="A172">
        <v>40611</v>
      </c>
      <c r="B172" s="2" t="s">
        <v>205</v>
      </c>
      <c r="C172" s="2" t="s">
        <v>247</v>
      </c>
      <c r="D172" s="2" t="s">
        <v>687</v>
      </c>
      <c r="E172" s="4"/>
    </row>
    <row r="173" spans="1:5" x14ac:dyDescent="0.25">
      <c r="A173">
        <v>40612</v>
      </c>
      <c r="B173" s="2" t="s">
        <v>205</v>
      </c>
      <c r="C173" s="2" t="s">
        <v>247</v>
      </c>
      <c r="D173" s="2" t="s">
        <v>688</v>
      </c>
      <c r="E173" s="4"/>
    </row>
    <row r="174" spans="1:5" ht="24" x14ac:dyDescent="0.25">
      <c r="A174">
        <v>120313</v>
      </c>
      <c r="B174" s="2" t="s">
        <v>608</v>
      </c>
      <c r="C174" s="2" t="s">
        <v>627</v>
      </c>
      <c r="D174" s="2" t="s">
        <v>712</v>
      </c>
      <c r="E174" s="4"/>
    </row>
    <row r="175" spans="1:5" ht="24" x14ac:dyDescent="0.25">
      <c r="A175">
        <v>120315</v>
      </c>
      <c r="B175" s="2" t="s">
        <v>608</v>
      </c>
      <c r="C175" s="2" t="s">
        <v>627</v>
      </c>
      <c r="D175" s="2" t="s">
        <v>713</v>
      </c>
      <c r="E175" s="4"/>
    </row>
    <row r="176" spans="1:5" x14ac:dyDescent="0.25">
      <c r="A176">
        <v>40102</v>
      </c>
      <c r="B176" s="2" t="s">
        <v>205</v>
      </c>
      <c r="C176" s="2" t="s">
        <v>206</v>
      </c>
      <c r="D176" s="2" t="s">
        <v>208</v>
      </c>
      <c r="E176" s="4">
        <v>82</v>
      </c>
    </row>
    <row r="177" spans="1:5" x14ac:dyDescent="0.25">
      <c r="A177">
        <v>40701</v>
      </c>
      <c r="B177" s="2" t="s">
        <v>205</v>
      </c>
      <c r="C177" s="2" t="s">
        <v>255</v>
      </c>
      <c r="D177" s="2" t="s">
        <v>256</v>
      </c>
      <c r="E177" s="4">
        <v>0</v>
      </c>
    </row>
    <row r="178" spans="1:5" x14ac:dyDescent="0.25">
      <c r="A178">
        <v>41007</v>
      </c>
      <c r="B178" s="2" t="s">
        <v>205</v>
      </c>
      <c r="C178" s="2" t="s">
        <v>275</v>
      </c>
      <c r="D178" s="2" t="s">
        <v>282</v>
      </c>
      <c r="E178" s="4"/>
    </row>
    <row r="179" spans="1:5" x14ac:dyDescent="0.25">
      <c r="A179">
        <v>80826</v>
      </c>
      <c r="B179" s="2" t="s">
        <v>451</v>
      </c>
      <c r="C179" s="2" t="s">
        <v>451</v>
      </c>
      <c r="D179" s="2" t="s">
        <v>703</v>
      </c>
      <c r="E179" s="4">
        <v>121</v>
      </c>
    </row>
    <row r="180" spans="1:5" x14ac:dyDescent="0.25">
      <c r="A180">
        <v>40702</v>
      </c>
      <c r="B180" s="2" t="s">
        <v>205</v>
      </c>
      <c r="C180" s="2" t="s">
        <v>255</v>
      </c>
      <c r="D180" s="2" t="s">
        <v>257</v>
      </c>
      <c r="E180" s="4"/>
    </row>
    <row r="181" spans="1:5" x14ac:dyDescent="0.25">
      <c r="A181">
        <v>91010</v>
      </c>
      <c r="B181" s="2" t="s">
        <v>508</v>
      </c>
      <c r="C181" s="2" t="s">
        <v>573</v>
      </c>
      <c r="D181" s="2" t="s">
        <v>581</v>
      </c>
      <c r="E181" s="4">
        <v>4</v>
      </c>
    </row>
    <row r="182" spans="1:5" x14ac:dyDescent="0.25">
      <c r="A182">
        <v>90903</v>
      </c>
      <c r="B182" s="2" t="s">
        <v>508</v>
      </c>
      <c r="C182" s="2" t="s">
        <v>564</v>
      </c>
      <c r="D182" s="2" t="s">
        <v>567</v>
      </c>
      <c r="E182" s="4"/>
    </row>
    <row r="183" spans="1:5" x14ac:dyDescent="0.25">
      <c r="A183">
        <v>130705</v>
      </c>
      <c r="B183" s="2" t="s">
        <v>732</v>
      </c>
      <c r="C183" s="2" t="s">
        <v>763</v>
      </c>
      <c r="D183" s="2" t="s">
        <v>768</v>
      </c>
      <c r="E183" s="4">
        <v>15</v>
      </c>
    </row>
    <row r="184" spans="1:5" x14ac:dyDescent="0.25">
      <c r="A184">
        <v>130705</v>
      </c>
      <c r="B184" s="2" t="s">
        <v>732</v>
      </c>
      <c r="C184" s="2" t="s">
        <v>763</v>
      </c>
      <c r="D184" s="2" t="s">
        <v>768</v>
      </c>
      <c r="E184" s="4">
        <v>15</v>
      </c>
    </row>
    <row r="185" spans="1:5" x14ac:dyDescent="0.25">
      <c r="A185">
        <v>90307</v>
      </c>
      <c r="B185" s="2" t="s">
        <v>508</v>
      </c>
      <c r="C185" s="2" t="s">
        <v>526</v>
      </c>
      <c r="D185" s="2" t="s">
        <v>532</v>
      </c>
      <c r="E185" s="4"/>
    </row>
    <row r="186" spans="1:5" ht="24" x14ac:dyDescent="0.25">
      <c r="A186">
        <v>120505</v>
      </c>
      <c r="B186" s="2" t="s">
        <v>608</v>
      </c>
      <c r="C186" s="2" t="s">
        <v>645</v>
      </c>
      <c r="D186" s="2" t="s">
        <v>650</v>
      </c>
      <c r="E186" s="4"/>
    </row>
    <row r="187" spans="1:5" x14ac:dyDescent="0.25">
      <c r="A187">
        <v>60604</v>
      </c>
      <c r="B187" s="2" t="s">
        <v>321</v>
      </c>
      <c r="C187" s="2" t="s">
        <v>359</v>
      </c>
      <c r="D187" s="2" t="s">
        <v>363</v>
      </c>
      <c r="E187" s="4">
        <v>0</v>
      </c>
    </row>
    <row r="188" spans="1:5" x14ac:dyDescent="0.25">
      <c r="A188">
        <v>90102</v>
      </c>
      <c r="B188" s="2" t="s">
        <v>508</v>
      </c>
      <c r="C188" s="2" t="s">
        <v>509</v>
      </c>
      <c r="D188" s="2" t="s">
        <v>511</v>
      </c>
      <c r="E188" s="4"/>
    </row>
    <row r="189" spans="1:5" x14ac:dyDescent="0.25">
      <c r="A189">
        <v>70704</v>
      </c>
      <c r="B189" s="2" t="s">
        <v>374</v>
      </c>
      <c r="C189" s="2" t="s">
        <v>439</v>
      </c>
      <c r="D189" s="2" t="s">
        <v>443</v>
      </c>
      <c r="E189" s="4"/>
    </row>
    <row r="190" spans="1:5" x14ac:dyDescent="0.25">
      <c r="A190">
        <v>40513</v>
      </c>
      <c r="B190" s="2" t="s">
        <v>205</v>
      </c>
      <c r="C190" s="2" t="s">
        <v>237</v>
      </c>
      <c r="D190" s="2" t="s">
        <v>246</v>
      </c>
      <c r="E190" s="4"/>
    </row>
    <row r="191" spans="1:5" x14ac:dyDescent="0.25">
      <c r="A191">
        <v>70705</v>
      </c>
      <c r="B191" s="2" t="s">
        <v>374</v>
      </c>
      <c r="C191" s="2" t="s">
        <v>439</v>
      </c>
      <c r="D191" s="2" t="s">
        <v>444</v>
      </c>
      <c r="E191" s="4"/>
    </row>
    <row r="192" spans="1:5" x14ac:dyDescent="0.25">
      <c r="A192">
        <v>91203</v>
      </c>
      <c r="B192" s="2" t="s">
        <v>508</v>
      </c>
      <c r="C192" s="2" t="s">
        <v>591</v>
      </c>
      <c r="D192" s="2" t="s">
        <v>444</v>
      </c>
      <c r="E192" s="4"/>
    </row>
    <row r="193" spans="1:5" x14ac:dyDescent="0.25">
      <c r="A193">
        <v>130307</v>
      </c>
      <c r="B193" s="2" t="s">
        <v>732</v>
      </c>
      <c r="C193" s="2" t="s">
        <v>741</v>
      </c>
      <c r="D193" s="2" t="s">
        <v>444</v>
      </c>
      <c r="E193" s="4"/>
    </row>
    <row r="194" spans="1:5" x14ac:dyDescent="0.25">
      <c r="A194">
        <v>60303</v>
      </c>
      <c r="B194" s="2" t="s">
        <v>321</v>
      </c>
      <c r="C194" s="2" t="s">
        <v>336</v>
      </c>
      <c r="D194" s="2" t="s">
        <v>339</v>
      </c>
      <c r="E194" s="4"/>
    </row>
    <row r="195" spans="1:5" x14ac:dyDescent="0.25">
      <c r="A195">
        <v>70602</v>
      </c>
      <c r="B195" s="2" t="s">
        <v>374</v>
      </c>
      <c r="C195" s="2" t="s">
        <v>121</v>
      </c>
      <c r="D195" s="2" t="s">
        <v>436</v>
      </c>
      <c r="E195" s="4"/>
    </row>
    <row r="196" spans="1:5" x14ac:dyDescent="0.25">
      <c r="A196">
        <v>20403</v>
      </c>
      <c r="B196" s="2" t="s">
        <v>116</v>
      </c>
      <c r="C196" s="2" t="s">
        <v>141</v>
      </c>
      <c r="D196" s="2" t="s">
        <v>144</v>
      </c>
      <c r="E196" s="4"/>
    </row>
    <row r="197" spans="1:5" x14ac:dyDescent="0.25">
      <c r="A197">
        <v>60302</v>
      </c>
      <c r="B197" s="2" t="s">
        <v>321</v>
      </c>
      <c r="C197" s="2" t="s">
        <v>336</v>
      </c>
      <c r="D197" s="2" t="s">
        <v>338</v>
      </c>
      <c r="E197" s="4"/>
    </row>
    <row r="198" spans="1:5" x14ac:dyDescent="0.25">
      <c r="A198">
        <v>70204</v>
      </c>
      <c r="B198" s="2" t="s">
        <v>374</v>
      </c>
      <c r="C198" s="2" t="s">
        <v>105</v>
      </c>
      <c r="D198" s="2" t="s">
        <v>389</v>
      </c>
      <c r="E198" s="4"/>
    </row>
    <row r="199" spans="1:5" x14ac:dyDescent="0.25">
      <c r="A199">
        <v>60304</v>
      </c>
      <c r="B199" s="2" t="s">
        <v>321</v>
      </c>
      <c r="C199" s="2" t="s">
        <v>336</v>
      </c>
      <c r="D199" s="2" t="s">
        <v>340</v>
      </c>
      <c r="E199" s="4"/>
    </row>
    <row r="200" spans="1:5" x14ac:dyDescent="0.25">
      <c r="A200">
        <v>70406</v>
      </c>
      <c r="B200" s="2" t="s">
        <v>374</v>
      </c>
      <c r="C200" s="2" t="s">
        <v>418</v>
      </c>
      <c r="D200" s="2" t="s">
        <v>340</v>
      </c>
      <c r="E200" s="4"/>
    </row>
    <row r="201" spans="1:5" x14ac:dyDescent="0.25">
      <c r="A201">
        <v>20203</v>
      </c>
      <c r="B201" s="2" t="s">
        <v>116</v>
      </c>
      <c r="C201" s="2" t="s">
        <v>123</v>
      </c>
      <c r="D201" s="2" t="s">
        <v>126</v>
      </c>
      <c r="E201" s="4">
        <v>0</v>
      </c>
    </row>
    <row r="202" spans="1:5" x14ac:dyDescent="0.25">
      <c r="A202">
        <v>80802</v>
      </c>
      <c r="B202" s="2" t="s">
        <v>451</v>
      </c>
      <c r="C202" s="2" t="s">
        <v>451</v>
      </c>
      <c r="D202" s="2" t="s">
        <v>474</v>
      </c>
      <c r="E202" s="4">
        <v>185</v>
      </c>
    </row>
    <row r="203" spans="1:5" x14ac:dyDescent="0.25">
      <c r="A203">
        <v>60606</v>
      </c>
      <c r="B203" s="2" t="s">
        <v>321</v>
      </c>
      <c r="C203" s="2" t="s">
        <v>359</v>
      </c>
      <c r="D203" s="2" t="s">
        <v>365</v>
      </c>
      <c r="E203" s="4">
        <v>1</v>
      </c>
    </row>
    <row r="204" spans="1:5" x14ac:dyDescent="0.25">
      <c r="A204">
        <v>70205</v>
      </c>
      <c r="B204" s="2" t="s">
        <v>374</v>
      </c>
      <c r="C204" s="2" t="s">
        <v>105</v>
      </c>
      <c r="D204" s="2" t="s">
        <v>390</v>
      </c>
      <c r="E204" s="4"/>
    </row>
    <row r="205" spans="1:5" x14ac:dyDescent="0.25">
      <c r="A205">
        <v>90204</v>
      </c>
      <c r="B205" s="2" t="s">
        <v>508</v>
      </c>
      <c r="C205" s="2" t="s">
        <v>515</v>
      </c>
      <c r="D205" s="2" t="s">
        <v>519</v>
      </c>
      <c r="E205" s="4"/>
    </row>
    <row r="206" spans="1:5" x14ac:dyDescent="0.25">
      <c r="A206">
        <v>20605</v>
      </c>
      <c r="B206" s="2" t="s">
        <v>116</v>
      </c>
      <c r="C206" s="2" t="s">
        <v>154</v>
      </c>
      <c r="D206" s="2" t="s">
        <v>158</v>
      </c>
      <c r="E206" s="4">
        <v>8</v>
      </c>
    </row>
    <row r="207" spans="1:5" x14ac:dyDescent="0.25">
      <c r="A207">
        <v>130706</v>
      </c>
      <c r="B207" s="2" t="s">
        <v>732</v>
      </c>
      <c r="C207" s="2" t="s">
        <v>763</v>
      </c>
      <c r="D207" s="2" t="s">
        <v>158</v>
      </c>
      <c r="E207" s="4">
        <v>35</v>
      </c>
    </row>
    <row r="208" spans="1:5" x14ac:dyDescent="0.25">
      <c r="A208">
        <v>20502</v>
      </c>
      <c r="B208" s="2" t="s">
        <v>116</v>
      </c>
      <c r="C208" s="2" t="s">
        <v>148</v>
      </c>
      <c r="D208" s="2" t="s">
        <v>150</v>
      </c>
      <c r="E208" s="4"/>
    </row>
    <row r="209" spans="1:5" x14ac:dyDescent="0.25">
      <c r="A209">
        <v>70706</v>
      </c>
      <c r="B209" s="2" t="s">
        <v>374</v>
      </c>
      <c r="C209" s="2" t="s">
        <v>439</v>
      </c>
      <c r="D209" s="2" t="s">
        <v>445</v>
      </c>
      <c r="E209" s="4"/>
    </row>
    <row r="210" spans="1:5" x14ac:dyDescent="0.25">
      <c r="A210">
        <v>20102</v>
      </c>
      <c r="B210" s="2" t="s">
        <v>116</v>
      </c>
      <c r="C210" s="2" t="s">
        <v>117</v>
      </c>
      <c r="D210" s="2" t="s">
        <v>119</v>
      </c>
      <c r="E210" s="4"/>
    </row>
    <row r="211" spans="1:5" x14ac:dyDescent="0.25">
      <c r="A211">
        <v>41304</v>
      </c>
      <c r="B211" s="2" t="s">
        <v>205</v>
      </c>
      <c r="C211" s="2" t="s">
        <v>292</v>
      </c>
      <c r="D211" s="2" t="s">
        <v>119</v>
      </c>
      <c r="E211" s="4"/>
    </row>
    <row r="212" spans="1:5" x14ac:dyDescent="0.25">
      <c r="A212">
        <v>90904</v>
      </c>
      <c r="B212" s="2" t="s">
        <v>508</v>
      </c>
      <c r="C212" s="2" t="s">
        <v>564</v>
      </c>
      <c r="D212" s="2" t="s">
        <v>568</v>
      </c>
      <c r="E212" s="4"/>
    </row>
    <row r="213" spans="1:5" x14ac:dyDescent="0.25">
      <c r="A213">
        <v>70315</v>
      </c>
      <c r="B213" s="2" t="s">
        <v>374</v>
      </c>
      <c r="C213" s="2" t="s">
        <v>374</v>
      </c>
      <c r="D213" s="2" t="s">
        <v>702</v>
      </c>
      <c r="E213" s="4">
        <v>1</v>
      </c>
    </row>
    <row r="214" spans="1:5" x14ac:dyDescent="0.25">
      <c r="A214">
        <v>10206</v>
      </c>
      <c r="B214" s="2" t="s">
        <v>92</v>
      </c>
      <c r="C214" s="2" t="s">
        <v>100</v>
      </c>
      <c r="D214" s="2" t="s">
        <v>104</v>
      </c>
      <c r="E214" s="4">
        <v>7</v>
      </c>
    </row>
    <row r="215" spans="1:5" x14ac:dyDescent="0.25">
      <c r="A215">
        <v>70102</v>
      </c>
      <c r="B215" s="2" t="s">
        <v>374</v>
      </c>
      <c r="C215" s="2" t="s">
        <v>375</v>
      </c>
      <c r="D215" s="2" t="s">
        <v>377</v>
      </c>
      <c r="E215" s="4"/>
    </row>
    <row r="216" spans="1:5" x14ac:dyDescent="0.25">
      <c r="A216">
        <v>130902</v>
      </c>
      <c r="B216" s="2" t="s">
        <v>732</v>
      </c>
      <c r="C216" s="2" t="s">
        <v>252</v>
      </c>
      <c r="D216" s="2" t="s">
        <v>780</v>
      </c>
      <c r="E216" s="4"/>
    </row>
    <row r="217" spans="1:5" x14ac:dyDescent="0.25">
      <c r="A217">
        <v>30203</v>
      </c>
      <c r="B217" s="2" t="s">
        <v>164</v>
      </c>
      <c r="C217" s="2" t="s">
        <v>179</v>
      </c>
      <c r="D217" s="2" t="s">
        <v>182</v>
      </c>
      <c r="E217" s="4"/>
    </row>
    <row r="218" spans="1:5" x14ac:dyDescent="0.25">
      <c r="A218">
        <v>30303</v>
      </c>
      <c r="B218" s="2" t="s">
        <v>164</v>
      </c>
      <c r="C218" s="2" t="s">
        <v>187</v>
      </c>
      <c r="D218" s="2" t="s">
        <v>190</v>
      </c>
      <c r="E218" s="4"/>
    </row>
    <row r="219" spans="1:5" x14ac:dyDescent="0.25">
      <c r="A219">
        <v>70302</v>
      </c>
      <c r="B219" s="2" t="s">
        <v>374</v>
      </c>
      <c r="C219" s="2" t="s">
        <v>374</v>
      </c>
      <c r="D219" s="2" t="s">
        <v>190</v>
      </c>
      <c r="E219" s="4"/>
    </row>
    <row r="220" spans="1:5" x14ac:dyDescent="0.25">
      <c r="A220">
        <v>20302</v>
      </c>
      <c r="B220" s="2" t="s">
        <v>116</v>
      </c>
      <c r="C220" s="2" t="s">
        <v>134</v>
      </c>
      <c r="D220" s="2" t="s">
        <v>136</v>
      </c>
      <c r="E220" s="4">
        <v>0</v>
      </c>
    </row>
    <row r="221" spans="1:5" x14ac:dyDescent="0.25">
      <c r="A221">
        <v>70109</v>
      </c>
      <c r="B221" s="2" t="s">
        <v>374</v>
      </c>
      <c r="C221" s="2" t="s">
        <v>375</v>
      </c>
      <c r="D221" s="2" t="s">
        <v>384</v>
      </c>
      <c r="E221" s="4"/>
    </row>
    <row r="222" spans="1:5" ht="24" x14ac:dyDescent="0.25">
      <c r="A222">
        <v>20108</v>
      </c>
      <c r="B222" s="2" t="s">
        <v>116</v>
      </c>
      <c r="C222" s="2" t="s">
        <v>117</v>
      </c>
      <c r="D222" s="2" t="s">
        <v>677</v>
      </c>
      <c r="E222" s="4"/>
    </row>
    <row r="223" spans="1:5" x14ac:dyDescent="0.25">
      <c r="A223">
        <v>90407</v>
      </c>
      <c r="B223" s="2" t="s">
        <v>508</v>
      </c>
      <c r="C223" s="2" t="s">
        <v>425</v>
      </c>
      <c r="D223" s="2" t="s">
        <v>704</v>
      </c>
      <c r="E223" s="4"/>
    </row>
    <row r="224" spans="1:5" x14ac:dyDescent="0.25">
      <c r="A224">
        <v>130903</v>
      </c>
      <c r="B224" s="2" t="s">
        <v>732</v>
      </c>
      <c r="C224" s="2" t="s">
        <v>252</v>
      </c>
      <c r="D224" s="2" t="s">
        <v>704</v>
      </c>
      <c r="E224" s="4">
        <v>2</v>
      </c>
    </row>
    <row r="225" spans="1:5" x14ac:dyDescent="0.25">
      <c r="A225">
        <v>130406</v>
      </c>
      <c r="B225" s="2" t="s">
        <v>732</v>
      </c>
      <c r="C225" s="2" t="s">
        <v>753</v>
      </c>
      <c r="D225" s="2" t="s">
        <v>758</v>
      </c>
      <c r="E225" s="4"/>
    </row>
    <row r="226" spans="1:5" x14ac:dyDescent="0.25">
      <c r="A226">
        <v>60704</v>
      </c>
      <c r="B226" s="2" t="s">
        <v>321</v>
      </c>
      <c r="C226" s="2" t="s">
        <v>368</v>
      </c>
      <c r="D226" s="2" t="s">
        <v>372</v>
      </c>
      <c r="E226" s="4"/>
    </row>
    <row r="227" spans="1:5" x14ac:dyDescent="0.25">
      <c r="A227">
        <v>80504</v>
      </c>
      <c r="B227" s="2" t="s">
        <v>451</v>
      </c>
      <c r="C227" s="2" t="s">
        <v>330</v>
      </c>
      <c r="D227" s="2" t="s">
        <v>461</v>
      </c>
      <c r="E227" s="4">
        <v>1</v>
      </c>
    </row>
    <row r="228" spans="1:5" x14ac:dyDescent="0.25">
      <c r="A228">
        <v>80504</v>
      </c>
      <c r="B228" s="2" t="s">
        <v>451</v>
      </c>
      <c r="C228" s="2" t="s">
        <v>330</v>
      </c>
      <c r="D228" s="2" t="s">
        <v>461</v>
      </c>
      <c r="E228" s="4">
        <v>1</v>
      </c>
    </row>
    <row r="229" spans="1:5" x14ac:dyDescent="0.25">
      <c r="A229">
        <v>70103</v>
      </c>
      <c r="B229" s="2" t="s">
        <v>374</v>
      </c>
      <c r="C229" s="2" t="s">
        <v>375</v>
      </c>
      <c r="D229" s="2" t="s">
        <v>378</v>
      </c>
      <c r="E229" s="4"/>
    </row>
    <row r="230" spans="1:5" x14ac:dyDescent="0.25">
      <c r="A230">
        <v>70206</v>
      </c>
      <c r="B230" s="2" t="s">
        <v>374</v>
      </c>
      <c r="C230" s="2" t="s">
        <v>105</v>
      </c>
      <c r="D230" s="2" t="s">
        <v>391</v>
      </c>
      <c r="E230" s="4"/>
    </row>
    <row r="231" spans="1:5" x14ac:dyDescent="0.25">
      <c r="A231">
        <v>91105</v>
      </c>
      <c r="B231" s="2" t="s">
        <v>508</v>
      </c>
      <c r="C231" s="2" t="s">
        <v>583</v>
      </c>
      <c r="D231" s="2" t="s">
        <v>587</v>
      </c>
      <c r="E231" s="4">
        <v>0</v>
      </c>
    </row>
    <row r="232" spans="1:5" x14ac:dyDescent="0.25">
      <c r="A232">
        <v>90504</v>
      </c>
      <c r="B232" s="2" t="s">
        <v>508</v>
      </c>
      <c r="C232" s="2" t="s">
        <v>426</v>
      </c>
      <c r="D232" s="2" t="s">
        <v>540</v>
      </c>
      <c r="E232" s="4"/>
    </row>
    <row r="233" spans="1:5" x14ac:dyDescent="0.25">
      <c r="A233">
        <v>70207</v>
      </c>
      <c r="B233" s="2" t="s">
        <v>374</v>
      </c>
      <c r="C233" s="2" t="s">
        <v>105</v>
      </c>
      <c r="D233" s="2" t="s">
        <v>392</v>
      </c>
      <c r="E233" s="4"/>
    </row>
    <row r="234" spans="1:5" x14ac:dyDescent="0.25">
      <c r="A234">
        <v>40902</v>
      </c>
      <c r="B234" s="2" t="s">
        <v>205</v>
      </c>
      <c r="C234" s="2" t="s">
        <v>269</v>
      </c>
      <c r="D234" s="2" t="s">
        <v>271</v>
      </c>
      <c r="E234" s="4"/>
    </row>
    <row r="235" spans="1:5" x14ac:dyDescent="0.25">
      <c r="A235">
        <v>60603</v>
      </c>
      <c r="B235" s="2" t="s">
        <v>321</v>
      </c>
      <c r="C235" s="2" t="s">
        <v>359</v>
      </c>
      <c r="D235" s="2" t="s">
        <v>362</v>
      </c>
      <c r="E235" s="4"/>
    </row>
    <row r="236" spans="1:5" x14ac:dyDescent="0.25">
      <c r="A236">
        <v>20503</v>
      </c>
      <c r="B236" s="2" t="s">
        <v>116</v>
      </c>
      <c r="C236" s="2" t="s">
        <v>148</v>
      </c>
      <c r="D236" s="2" t="s">
        <v>151</v>
      </c>
      <c r="E236" s="4"/>
    </row>
    <row r="237" spans="1:5" x14ac:dyDescent="0.25">
      <c r="A237">
        <v>90905</v>
      </c>
      <c r="B237" s="2" t="s">
        <v>508</v>
      </c>
      <c r="C237" s="2" t="s">
        <v>564</v>
      </c>
      <c r="D237" s="2" t="s">
        <v>569</v>
      </c>
      <c r="E237" s="4"/>
    </row>
    <row r="238" spans="1:5" ht="24" x14ac:dyDescent="0.25">
      <c r="A238">
        <v>120506</v>
      </c>
      <c r="B238" s="2" t="s">
        <v>608</v>
      </c>
      <c r="C238" s="2" t="s">
        <v>645</v>
      </c>
      <c r="D238" s="2" t="s">
        <v>651</v>
      </c>
      <c r="E238" s="4"/>
    </row>
    <row r="239" spans="1:5" x14ac:dyDescent="0.25">
      <c r="A239">
        <v>60605</v>
      </c>
      <c r="B239" s="2" t="s">
        <v>321</v>
      </c>
      <c r="C239" s="2" t="s">
        <v>359</v>
      </c>
      <c r="D239" s="2" t="s">
        <v>364</v>
      </c>
      <c r="E239" s="4"/>
    </row>
    <row r="240" spans="1:5" x14ac:dyDescent="0.25">
      <c r="A240">
        <v>70208</v>
      </c>
      <c r="B240" s="2" t="s">
        <v>374</v>
      </c>
      <c r="C240" s="2" t="s">
        <v>105</v>
      </c>
      <c r="D240" s="2" t="s">
        <v>364</v>
      </c>
      <c r="E240" s="4"/>
    </row>
    <row r="241" spans="1:5" ht="24" x14ac:dyDescent="0.25">
      <c r="A241">
        <v>120510</v>
      </c>
      <c r="B241" s="2" t="s">
        <v>608</v>
      </c>
      <c r="C241" s="2" t="s">
        <v>645</v>
      </c>
      <c r="D241" s="2" t="s">
        <v>716</v>
      </c>
      <c r="E241" s="4"/>
    </row>
    <row r="242" spans="1:5" x14ac:dyDescent="0.25">
      <c r="A242">
        <v>20504</v>
      </c>
      <c r="B242" s="2" t="s">
        <v>116</v>
      </c>
      <c r="C242" s="2" t="s">
        <v>148</v>
      </c>
      <c r="D242" s="2" t="s">
        <v>152</v>
      </c>
      <c r="E242" s="4"/>
    </row>
    <row r="243" spans="1:5" x14ac:dyDescent="0.25">
      <c r="A243">
        <v>90303</v>
      </c>
      <c r="B243" s="2" t="s">
        <v>508</v>
      </c>
      <c r="C243" s="2" t="s">
        <v>526</v>
      </c>
      <c r="D243" s="2" t="s">
        <v>529</v>
      </c>
      <c r="E243" s="4"/>
    </row>
    <row r="244" spans="1:5" ht="24" x14ac:dyDescent="0.25">
      <c r="A244">
        <v>120507</v>
      </c>
      <c r="B244" s="2" t="s">
        <v>608</v>
      </c>
      <c r="C244" s="2" t="s">
        <v>645</v>
      </c>
      <c r="D244" s="2" t="s">
        <v>652</v>
      </c>
      <c r="E244" s="4"/>
    </row>
    <row r="245" spans="1:5" ht="24" x14ac:dyDescent="0.25">
      <c r="A245">
        <v>120511</v>
      </c>
      <c r="B245" s="2" t="s">
        <v>608</v>
      </c>
      <c r="C245" s="2" t="s">
        <v>645</v>
      </c>
      <c r="D245" s="2" t="s">
        <v>717</v>
      </c>
      <c r="E245" s="4"/>
    </row>
    <row r="246" spans="1:5" x14ac:dyDescent="0.25">
      <c r="A246">
        <v>40903</v>
      </c>
      <c r="B246" s="2" t="s">
        <v>205</v>
      </c>
      <c r="C246" s="2" t="s">
        <v>269</v>
      </c>
      <c r="D246" s="2" t="s">
        <v>272</v>
      </c>
      <c r="E246" s="4"/>
    </row>
    <row r="247" spans="1:5" x14ac:dyDescent="0.25">
      <c r="A247">
        <v>20303</v>
      </c>
      <c r="B247" s="2" t="s">
        <v>116</v>
      </c>
      <c r="C247" s="2" t="s">
        <v>134</v>
      </c>
      <c r="D247" s="2" t="s">
        <v>137</v>
      </c>
      <c r="E247" s="4"/>
    </row>
    <row r="248" spans="1:5" x14ac:dyDescent="0.25">
      <c r="A248">
        <v>90205</v>
      </c>
      <c r="B248" s="2" t="s">
        <v>508</v>
      </c>
      <c r="C248" s="2" t="s">
        <v>515</v>
      </c>
      <c r="D248" s="2" t="s">
        <v>137</v>
      </c>
      <c r="E248" s="4"/>
    </row>
    <row r="249" spans="1:5" x14ac:dyDescent="0.25">
      <c r="A249">
        <v>90505</v>
      </c>
      <c r="B249" s="2" t="s">
        <v>508</v>
      </c>
      <c r="C249" s="2" t="s">
        <v>426</v>
      </c>
      <c r="D249" s="2" t="s">
        <v>541</v>
      </c>
      <c r="E249" s="4"/>
    </row>
    <row r="250" spans="1:5" x14ac:dyDescent="0.25">
      <c r="A250">
        <v>40904</v>
      </c>
      <c r="B250" s="2" t="s">
        <v>205</v>
      </c>
      <c r="C250" s="2" t="s">
        <v>269</v>
      </c>
      <c r="D250" s="2" t="s">
        <v>273</v>
      </c>
      <c r="E250" s="4"/>
    </row>
    <row r="251" spans="1:5" ht="24" x14ac:dyDescent="0.25">
      <c r="A251">
        <v>50201</v>
      </c>
      <c r="B251" s="2" t="s">
        <v>301</v>
      </c>
      <c r="C251" s="2" t="s">
        <v>312</v>
      </c>
      <c r="D251" s="2" t="s">
        <v>313</v>
      </c>
      <c r="E251" s="4"/>
    </row>
    <row r="252" spans="1:5" ht="24" x14ac:dyDescent="0.25">
      <c r="A252">
        <v>50201</v>
      </c>
      <c r="B252" s="2" t="s">
        <v>301</v>
      </c>
      <c r="C252" s="2" t="s">
        <v>312</v>
      </c>
      <c r="D252" s="2" t="s">
        <v>313</v>
      </c>
      <c r="E252" s="4"/>
    </row>
    <row r="253" spans="1:5" x14ac:dyDescent="0.25">
      <c r="A253">
        <v>20204</v>
      </c>
      <c r="B253" s="2" t="s">
        <v>116</v>
      </c>
      <c r="C253" s="2" t="s">
        <v>123</v>
      </c>
      <c r="D253" s="2" t="s">
        <v>127</v>
      </c>
      <c r="E253" s="4"/>
    </row>
    <row r="254" spans="1:5" x14ac:dyDescent="0.25">
      <c r="A254">
        <v>60703</v>
      </c>
      <c r="B254" s="2" t="s">
        <v>321</v>
      </c>
      <c r="C254" s="2" t="s">
        <v>368</v>
      </c>
      <c r="D254" s="2" t="s">
        <v>371</v>
      </c>
      <c r="E254" s="4"/>
    </row>
    <row r="255" spans="1:5" x14ac:dyDescent="0.25">
      <c r="A255">
        <v>90506</v>
      </c>
      <c r="B255" s="2" t="s">
        <v>508</v>
      </c>
      <c r="C255" s="2" t="s">
        <v>426</v>
      </c>
      <c r="D255" s="2" t="s">
        <v>371</v>
      </c>
      <c r="E255" s="4"/>
    </row>
    <row r="256" spans="1:5" x14ac:dyDescent="0.25">
      <c r="A256">
        <v>20103</v>
      </c>
      <c r="B256" s="2" t="s">
        <v>116</v>
      </c>
      <c r="C256" s="2" t="s">
        <v>117</v>
      </c>
      <c r="D256" s="2" t="s">
        <v>120</v>
      </c>
      <c r="E256" s="4">
        <v>0</v>
      </c>
    </row>
    <row r="257" spans="1:5" x14ac:dyDescent="0.25">
      <c r="A257">
        <v>10214</v>
      </c>
      <c r="B257" s="2" t="s">
        <v>92</v>
      </c>
      <c r="C257" s="2" t="s">
        <v>100</v>
      </c>
      <c r="D257" s="2" t="s">
        <v>665</v>
      </c>
      <c r="E257" s="4"/>
    </row>
    <row r="258" spans="1:5" x14ac:dyDescent="0.25">
      <c r="A258">
        <v>40103</v>
      </c>
      <c r="B258" s="2" t="s">
        <v>205</v>
      </c>
      <c r="C258" s="2" t="s">
        <v>206</v>
      </c>
      <c r="D258" s="2" t="s">
        <v>209</v>
      </c>
      <c r="E258" s="4">
        <v>0</v>
      </c>
    </row>
    <row r="259" spans="1:5" x14ac:dyDescent="0.25">
      <c r="A259">
        <v>10204</v>
      </c>
      <c r="B259" s="2" t="s">
        <v>92</v>
      </c>
      <c r="C259" s="2" t="s">
        <v>100</v>
      </c>
      <c r="D259" s="2" t="s">
        <v>103</v>
      </c>
      <c r="E259" s="4"/>
    </row>
    <row r="260" spans="1:5" x14ac:dyDescent="0.25">
      <c r="A260">
        <v>60406</v>
      </c>
      <c r="B260" s="2" t="s">
        <v>321</v>
      </c>
      <c r="C260" s="2" t="s">
        <v>345</v>
      </c>
      <c r="D260" s="2" t="s">
        <v>350</v>
      </c>
      <c r="E260" s="4"/>
    </row>
    <row r="261" spans="1:5" x14ac:dyDescent="0.25">
      <c r="A261">
        <v>60204</v>
      </c>
      <c r="B261" s="2" t="s">
        <v>321</v>
      </c>
      <c r="C261" s="2" t="s">
        <v>328</v>
      </c>
      <c r="D261" s="2" t="s">
        <v>332</v>
      </c>
      <c r="E261" s="4"/>
    </row>
    <row r="262" spans="1:5" x14ac:dyDescent="0.25">
      <c r="A262">
        <v>20205</v>
      </c>
      <c r="B262" s="2" t="s">
        <v>116</v>
      </c>
      <c r="C262" s="2" t="s">
        <v>123</v>
      </c>
      <c r="D262" s="2" t="s">
        <v>128</v>
      </c>
      <c r="E262" s="4">
        <v>1</v>
      </c>
    </row>
    <row r="263" spans="1:5" ht="24" x14ac:dyDescent="0.25">
      <c r="A263">
        <v>120106</v>
      </c>
      <c r="B263" s="2" t="s">
        <v>608</v>
      </c>
      <c r="C263" s="2" t="s">
        <v>609</v>
      </c>
      <c r="D263" s="2" t="s">
        <v>615</v>
      </c>
      <c r="E263" s="4"/>
    </row>
    <row r="264" spans="1:5" x14ac:dyDescent="0.25">
      <c r="A264">
        <v>60408</v>
      </c>
      <c r="B264" s="2" t="s">
        <v>321</v>
      </c>
      <c r="C264" s="2" t="s">
        <v>345</v>
      </c>
      <c r="D264" s="2" t="s">
        <v>701</v>
      </c>
      <c r="E264" s="4"/>
    </row>
    <row r="265" spans="1:5" x14ac:dyDescent="0.25">
      <c r="A265">
        <v>80823</v>
      </c>
      <c r="B265" s="2" t="s">
        <v>451</v>
      </c>
      <c r="C265" s="2" t="s">
        <v>451</v>
      </c>
      <c r="D265" s="2" t="s">
        <v>492</v>
      </c>
      <c r="E265" s="4">
        <v>130</v>
      </c>
    </row>
    <row r="266" spans="1:5" x14ac:dyDescent="0.25">
      <c r="A266">
        <v>30107</v>
      </c>
      <c r="B266" s="2" t="s">
        <v>164</v>
      </c>
      <c r="C266" s="2" t="s">
        <v>164</v>
      </c>
      <c r="D266" s="2" t="s">
        <v>178</v>
      </c>
      <c r="E266" s="4"/>
    </row>
    <row r="267" spans="1:5" x14ac:dyDescent="0.25">
      <c r="A267">
        <v>70407</v>
      </c>
      <c r="B267" s="2" t="s">
        <v>374</v>
      </c>
      <c r="C267" s="2" t="s">
        <v>418</v>
      </c>
      <c r="D267" s="2" t="s">
        <v>424</v>
      </c>
      <c r="E267" s="4"/>
    </row>
    <row r="268" spans="1:5" x14ac:dyDescent="0.25">
      <c r="A268">
        <v>130707</v>
      </c>
      <c r="B268" s="2" t="s">
        <v>732</v>
      </c>
      <c r="C268" s="2" t="s">
        <v>763</v>
      </c>
      <c r="D268" s="2" t="s">
        <v>769</v>
      </c>
      <c r="E268" s="4">
        <v>4</v>
      </c>
    </row>
    <row r="269" spans="1:5" x14ac:dyDescent="0.25">
      <c r="A269">
        <v>10216</v>
      </c>
      <c r="B269" s="2" t="s">
        <v>92</v>
      </c>
      <c r="C269" s="2" t="s">
        <v>100</v>
      </c>
      <c r="D269" s="2" t="s">
        <v>667</v>
      </c>
      <c r="E269" s="4">
        <v>0</v>
      </c>
    </row>
    <row r="270" spans="1:5" x14ac:dyDescent="0.25">
      <c r="A270">
        <v>10215</v>
      </c>
      <c r="B270" s="2" t="s">
        <v>92</v>
      </c>
      <c r="C270" s="2" t="s">
        <v>100</v>
      </c>
      <c r="D270" s="2" t="s">
        <v>666</v>
      </c>
      <c r="E270" s="4">
        <v>0</v>
      </c>
    </row>
    <row r="271" spans="1:5" x14ac:dyDescent="0.25">
      <c r="A271">
        <v>10217</v>
      </c>
      <c r="B271" s="2" t="s">
        <v>92</v>
      </c>
      <c r="C271" s="2" t="s">
        <v>100</v>
      </c>
      <c r="D271" s="2" t="s">
        <v>668</v>
      </c>
      <c r="E271" s="4">
        <v>0</v>
      </c>
    </row>
    <row r="272" spans="1:5" x14ac:dyDescent="0.25">
      <c r="A272">
        <v>70707</v>
      </c>
      <c r="B272" s="2" t="s">
        <v>374</v>
      </c>
      <c r="C272" s="2" t="s">
        <v>439</v>
      </c>
      <c r="D272" s="2" t="s">
        <v>446</v>
      </c>
      <c r="E272" s="4"/>
    </row>
    <row r="273" spans="1:5" x14ac:dyDescent="0.25">
      <c r="A273">
        <v>50104</v>
      </c>
      <c r="B273" s="2" t="s">
        <v>301</v>
      </c>
      <c r="C273" s="2" t="s">
        <v>302</v>
      </c>
      <c r="D273" s="2" t="s">
        <v>304</v>
      </c>
      <c r="E273" s="4"/>
    </row>
    <row r="274" spans="1:5" x14ac:dyDescent="0.25">
      <c r="A274">
        <v>90906</v>
      </c>
      <c r="B274" s="2" t="s">
        <v>508</v>
      </c>
      <c r="C274" s="2" t="s">
        <v>564</v>
      </c>
      <c r="D274" s="2" t="s">
        <v>570</v>
      </c>
      <c r="E274" s="4"/>
    </row>
    <row r="275" spans="1:5" x14ac:dyDescent="0.25">
      <c r="A275">
        <v>30304</v>
      </c>
      <c r="B275" s="2" t="s">
        <v>164</v>
      </c>
      <c r="C275" s="2" t="s">
        <v>187</v>
      </c>
      <c r="D275" s="2" t="s">
        <v>191</v>
      </c>
      <c r="E275" s="4"/>
    </row>
    <row r="276" spans="1:5" x14ac:dyDescent="0.25">
      <c r="A276">
        <v>90602</v>
      </c>
      <c r="B276" s="2" t="s">
        <v>508</v>
      </c>
      <c r="C276" s="2" t="s">
        <v>548</v>
      </c>
      <c r="D276" s="2" t="s">
        <v>550</v>
      </c>
      <c r="E276" s="4"/>
    </row>
    <row r="277" spans="1:5" x14ac:dyDescent="0.25">
      <c r="A277">
        <v>40505</v>
      </c>
      <c r="B277" s="2" t="s">
        <v>205</v>
      </c>
      <c r="C277" s="2" t="s">
        <v>237</v>
      </c>
      <c r="D277" s="2" t="s">
        <v>240</v>
      </c>
      <c r="E277" s="4"/>
    </row>
    <row r="278" spans="1:5" x14ac:dyDescent="0.25">
      <c r="A278">
        <v>80603</v>
      </c>
      <c r="B278" s="2" t="s">
        <v>451</v>
      </c>
      <c r="C278" s="2" t="s">
        <v>467</v>
      </c>
      <c r="D278" s="2" t="s">
        <v>470</v>
      </c>
      <c r="E278" s="4"/>
    </row>
    <row r="279" spans="1:5" x14ac:dyDescent="0.25">
      <c r="A279">
        <v>40304</v>
      </c>
      <c r="B279" s="2" t="s">
        <v>205</v>
      </c>
      <c r="C279" s="2" t="s">
        <v>222</v>
      </c>
      <c r="D279" s="2" t="s">
        <v>226</v>
      </c>
      <c r="E279" s="4"/>
    </row>
    <row r="280" spans="1:5" x14ac:dyDescent="0.25">
      <c r="A280">
        <v>10203</v>
      </c>
      <c r="B280" s="2" t="s">
        <v>92</v>
      </c>
      <c r="C280" s="2" t="s">
        <v>100</v>
      </c>
      <c r="D280" s="2" t="s">
        <v>102</v>
      </c>
      <c r="E280" s="4">
        <v>3</v>
      </c>
    </row>
    <row r="281" spans="1:5" x14ac:dyDescent="0.25">
      <c r="A281">
        <v>40605</v>
      </c>
      <c r="B281" s="2" t="s">
        <v>205</v>
      </c>
      <c r="C281" s="2" t="s">
        <v>247</v>
      </c>
      <c r="D281" s="2" t="s">
        <v>251</v>
      </c>
      <c r="E281" s="4"/>
    </row>
    <row r="282" spans="1:5" x14ac:dyDescent="0.25">
      <c r="A282">
        <v>130708</v>
      </c>
      <c r="B282" s="2" t="s">
        <v>732</v>
      </c>
      <c r="C282" s="2" t="s">
        <v>763</v>
      </c>
      <c r="D282" s="2" t="s">
        <v>770</v>
      </c>
      <c r="E282" s="4">
        <v>117</v>
      </c>
    </row>
    <row r="283" spans="1:5" x14ac:dyDescent="0.25">
      <c r="A283">
        <v>40801</v>
      </c>
      <c r="B283" s="2" t="s">
        <v>205</v>
      </c>
      <c r="C283" s="2" t="s">
        <v>264</v>
      </c>
      <c r="D283" s="2" t="s">
        <v>264</v>
      </c>
      <c r="E283" s="4">
        <v>2</v>
      </c>
    </row>
    <row r="284" spans="1:5" x14ac:dyDescent="0.25">
      <c r="A284">
        <v>70708</v>
      </c>
      <c r="B284" s="2" t="s">
        <v>374</v>
      </c>
      <c r="C284" s="2" t="s">
        <v>439</v>
      </c>
      <c r="D284" s="2" t="s">
        <v>447</v>
      </c>
      <c r="E284" s="4"/>
    </row>
    <row r="285" spans="1:5" x14ac:dyDescent="0.25">
      <c r="A285">
        <v>70101</v>
      </c>
      <c r="B285" s="2" t="s">
        <v>374</v>
      </c>
      <c r="C285" s="2" t="s">
        <v>375</v>
      </c>
      <c r="D285" s="2" t="s">
        <v>376</v>
      </c>
      <c r="E285" s="4"/>
    </row>
    <row r="286" spans="1:5" x14ac:dyDescent="0.25">
      <c r="A286">
        <v>70104</v>
      </c>
      <c r="B286" s="2" t="s">
        <v>374</v>
      </c>
      <c r="C286" s="2" t="s">
        <v>375</v>
      </c>
      <c r="D286" s="2" t="s">
        <v>379</v>
      </c>
      <c r="E286" s="4"/>
    </row>
    <row r="287" spans="1:5" x14ac:dyDescent="0.25">
      <c r="A287">
        <v>40104</v>
      </c>
      <c r="B287" s="2" t="s">
        <v>205</v>
      </c>
      <c r="C287" s="2" t="s">
        <v>206</v>
      </c>
      <c r="D287" s="2" t="s">
        <v>210</v>
      </c>
      <c r="E287" s="4"/>
    </row>
    <row r="288" spans="1:5" x14ac:dyDescent="0.25">
      <c r="A288">
        <v>91106</v>
      </c>
      <c r="B288" s="2" t="s">
        <v>508</v>
      </c>
      <c r="C288" s="2" t="s">
        <v>583</v>
      </c>
      <c r="D288" s="2" t="s">
        <v>210</v>
      </c>
      <c r="E288" s="4">
        <v>0</v>
      </c>
    </row>
    <row r="289" spans="1:5" x14ac:dyDescent="0.25">
      <c r="A289">
        <v>40305</v>
      </c>
      <c r="B289" s="2" t="s">
        <v>205</v>
      </c>
      <c r="C289" s="2" t="s">
        <v>222</v>
      </c>
      <c r="D289" s="2" t="s">
        <v>227</v>
      </c>
      <c r="E289" s="4"/>
    </row>
    <row r="290" spans="1:5" ht="24" x14ac:dyDescent="0.25">
      <c r="A290">
        <v>120508</v>
      </c>
      <c r="B290" s="2" t="s">
        <v>608</v>
      </c>
      <c r="C290" s="2" t="s">
        <v>645</v>
      </c>
      <c r="D290" s="2" t="s">
        <v>653</v>
      </c>
      <c r="E290" s="4"/>
    </row>
    <row r="291" spans="1:5" x14ac:dyDescent="0.25">
      <c r="A291">
        <v>130904</v>
      </c>
      <c r="B291" s="2" t="s">
        <v>732</v>
      </c>
      <c r="C291" s="2" t="s">
        <v>252</v>
      </c>
      <c r="D291" s="2" t="s">
        <v>653</v>
      </c>
      <c r="E291" s="4"/>
    </row>
    <row r="292" spans="1:5" ht="24" x14ac:dyDescent="0.25">
      <c r="A292">
        <v>120509</v>
      </c>
      <c r="B292" s="2" t="s">
        <v>608</v>
      </c>
      <c r="C292" s="2" t="s">
        <v>645</v>
      </c>
      <c r="D292" s="2" t="s">
        <v>654</v>
      </c>
      <c r="E292" s="4"/>
    </row>
    <row r="293" spans="1:5" x14ac:dyDescent="0.25">
      <c r="A293">
        <v>20404</v>
      </c>
      <c r="B293" s="2" t="s">
        <v>116</v>
      </c>
      <c r="C293" s="2" t="s">
        <v>141</v>
      </c>
      <c r="D293" s="2" t="s">
        <v>145</v>
      </c>
      <c r="E293" s="4"/>
    </row>
    <row r="294" spans="1:5" ht="24" x14ac:dyDescent="0.25">
      <c r="A294">
        <v>120803</v>
      </c>
      <c r="B294" s="2" t="s">
        <v>608</v>
      </c>
      <c r="C294" s="2" t="s">
        <v>720</v>
      </c>
      <c r="D294" s="2" t="s">
        <v>723</v>
      </c>
      <c r="E294" s="4"/>
    </row>
    <row r="295" spans="1:5" ht="24" x14ac:dyDescent="0.25">
      <c r="A295">
        <v>120604</v>
      </c>
      <c r="B295" s="2" t="s">
        <v>608</v>
      </c>
      <c r="C295" s="2" t="s">
        <v>655</v>
      </c>
      <c r="D295" s="2" t="s">
        <v>657</v>
      </c>
      <c r="E295" s="4"/>
    </row>
    <row r="296" spans="1:5" ht="24" x14ac:dyDescent="0.25">
      <c r="A296">
        <v>120402</v>
      </c>
      <c r="B296" s="2" t="s">
        <v>608</v>
      </c>
      <c r="C296" s="2" t="s">
        <v>639</v>
      </c>
      <c r="D296" s="2" t="s">
        <v>641</v>
      </c>
      <c r="E296" s="4"/>
    </row>
    <row r="297" spans="1:5" ht="24" x14ac:dyDescent="0.25">
      <c r="A297">
        <v>120203</v>
      </c>
      <c r="B297" s="2" t="s">
        <v>608</v>
      </c>
      <c r="C297" s="2" t="s">
        <v>618</v>
      </c>
      <c r="D297" s="2" t="s">
        <v>621</v>
      </c>
      <c r="E297" s="4">
        <v>0</v>
      </c>
    </row>
    <row r="298" spans="1:5" ht="24" x14ac:dyDescent="0.25">
      <c r="A298">
        <v>120204</v>
      </c>
      <c r="B298" s="2" t="s">
        <v>608</v>
      </c>
      <c r="C298" s="2" t="s">
        <v>618</v>
      </c>
      <c r="D298" s="2" t="s">
        <v>622</v>
      </c>
      <c r="E298" s="4">
        <v>0</v>
      </c>
    </row>
    <row r="299" spans="1:5" ht="24" x14ac:dyDescent="0.25">
      <c r="A299">
        <v>120205</v>
      </c>
      <c r="B299" s="2" t="s">
        <v>608</v>
      </c>
      <c r="C299" s="2" t="s">
        <v>618</v>
      </c>
      <c r="D299" s="2" t="s">
        <v>623</v>
      </c>
      <c r="E299" s="4">
        <v>0</v>
      </c>
    </row>
    <row r="300" spans="1:5" ht="24" x14ac:dyDescent="0.25">
      <c r="A300">
        <v>120206</v>
      </c>
      <c r="B300" s="2" t="s">
        <v>608</v>
      </c>
      <c r="C300" s="2" t="s">
        <v>618</v>
      </c>
      <c r="D300" s="2" t="s">
        <v>624</v>
      </c>
      <c r="E300" s="4">
        <v>4</v>
      </c>
    </row>
    <row r="301" spans="1:5" ht="24" x14ac:dyDescent="0.25">
      <c r="A301">
        <v>120201</v>
      </c>
      <c r="B301" s="2" t="s">
        <v>608</v>
      </c>
      <c r="C301" s="2" t="s">
        <v>618</v>
      </c>
      <c r="D301" s="2" t="s">
        <v>619</v>
      </c>
      <c r="E301" s="4"/>
    </row>
    <row r="302" spans="1:5" x14ac:dyDescent="0.25">
      <c r="A302">
        <v>130709</v>
      </c>
      <c r="B302" s="2" t="s">
        <v>732</v>
      </c>
      <c r="C302" s="2" t="s">
        <v>763</v>
      </c>
      <c r="D302" s="2" t="s">
        <v>321</v>
      </c>
      <c r="E302" s="4">
        <v>83</v>
      </c>
    </row>
    <row r="303" spans="1:5" x14ac:dyDescent="0.25">
      <c r="A303">
        <v>91111</v>
      </c>
      <c r="B303" s="2" t="s">
        <v>508</v>
      </c>
      <c r="C303" s="2" t="s">
        <v>583</v>
      </c>
      <c r="D303" s="2" t="s">
        <v>710</v>
      </c>
      <c r="E303" s="4">
        <v>0</v>
      </c>
    </row>
    <row r="304" spans="1:5" x14ac:dyDescent="0.25">
      <c r="A304">
        <v>41201</v>
      </c>
      <c r="B304" s="2" t="s">
        <v>205</v>
      </c>
      <c r="C304" s="2" t="s">
        <v>288</v>
      </c>
      <c r="D304" s="2" t="s">
        <v>289</v>
      </c>
      <c r="E304" s="4"/>
    </row>
    <row r="305" spans="1:5" x14ac:dyDescent="0.25">
      <c r="A305">
        <v>40802</v>
      </c>
      <c r="B305" s="2" t="s">
        <v>205</v>
      </c>
      <c r="C305" s="2" t="s">
        <v>264</v>
      </c>
      <c r="D305" s="2" t="s">
        <v>265</v>
      </c>
      <c r="E305" s="4"/>
    </row>
    <row r="306" spans="1:5" x14ac:dyDescent="0.25">
      <c r="A306">
        <v>40802</v>
      </c>
      <c r="B306" s="2" t="s">
        <v>205</v>
      </c>
      <c r="C306" s="2" t="s">
        <v>264</v>
      </c>
      <c r="D306" s="2" t="s">
        <v>265</v>
      </c>
      <c r="E306" s="4"/>
    </row>
    <row r="307" spans="1:5" x14ac:dyDescent="0.25">
      <c r="A307">
        <v>130710</v>
      </c>
      <c r="B307" s="2" t="s">
        <v>732</v>
      </c>
      <c r="C307" s="2" t="s">
        <v>763</v>
      </c>
      <c r="D307" s="2" t="s">
        <v>771</v>
      </c>
      <c r="E307" s="4"/>
    </row>
    <row r="308" spans="1:5" x14ac:dyDescent="0.25">
      <c r="A308">
        <v>70711</v>
      </c>
      <c r="B308" s="2" t="s">
        <v>374</v>
      </c>
      <c r="C308" s="2" t="s">
        <v>439</v>
      </c>
      <c r="D308" s="2" t="s">
        <v>450</v>
      </c>
      <c r="E308" s="4"/>
    </row>
    <row r="309" spans="1:5" x14ac:dyDescent="0.25">
      <c r="A309">
        <v>30404</v>
      </c>
      <c r="B309" s="2" t="s">
        <v>164</v>
      </c>
      <c r="C309" s="2" t="s">
        <v>192</v>
      </c>
      <c r="D309" s="2" t="s">
        <v>196</v>
      </c>
      <c r="E309" s="4"/>
    </row>
    <row r="310" spans="1:5" x14ac:dyDescent="0.25">
      <c r="A310">
        <v>130711</v>
      </c>
      <c r="B310" s="2" t="s">
        <v>732</v>
      </c>
      <c r="C310" s="2" t="s">
        <v>763</v>
      </c>
      <c r="D310" s="2" t="s">
        <v>772</v>
      </c>
      <c r="E310" s="4"/>
    </row>
    <row r="311" spans="1:5" x14ac:dyDescent="0.25">
      <c r="A311">
        <v>130711</v>
      </c>
      <c r="B311" s="2" t="s">
        <v>732</v>
      </c>
      <c r="C311" s="2" t="s">
        <v>763</v>
      </c>
      <c r="D311" s="2" t="s">
        <v>772</v>
      </c>
      <c r="E311" s="4"/>
    </row>
    <row r="312" spans="1:5" ht="24" x14ac:dyDescent="0.25">
      <c r="A312">
        <v>120403</v>
      </c>
      <c r="B312" s="2" t="s">
        <v>608</v>
      </c>
      <c r="C312" s="2" t="s">
        <v>639</v>
      </c>
      <c r="D312" s="2" t="s">
        <v>642</v>
      </c>
      <c r="E312" s="4"/>
    </row>
    <row r="313" spans="1:5" x14ac:dyDescent="0.25">
      <c r="A313">
        <v>50105</v>
      </c>
      <c r="B313" s="2" t="s">
        <v>301</v>
      </c>
      <c r="C313" s="2" t="s">
        <v>302</v>
      </c>
      <c r="D313" s="2" t="s">
        <v>305</v>
      </c>
      <c r="E313" s="4"/>
    </row>
    <row r="314" spans="1:5" x14ac:dyDescent="0.25">
      <c r="A314">
        <v>40405</v>
      </c>
      <c r="B314" s="2" t="s">
        <v>205</v>
      </c>
      <c r="C314" s="2" t="s">
        <v>231</v>
      </c>
      <c r="D314" s="2" t="s">
        <v>235</v>
      </c>
      <c r="E314" s="4"/>
    </row>
    <row r="315" spans="1:5" ht="24" x14ac:dyDescent="0.25">
      <c r="A315">
        <v>110202</v>
      </c>
      <c r="B315" s="2" t="s">
        <v>601</v>
      </c>
      <c r="C315" s="2" t="s">
        <v>307</v>
      </c>
      <c r="D315" s="2" t="s">
        <v>607</v>
      </c>
      <c r="E315" s="4"/>
    </row>
    <row r="316" spans="1:5" x14ac:dyDescent="0.25">
      <c r="A316">
        <v>81003</v>
      </c>
      <c r="B316" s="2" t="s">
        <v>451</v>
      </c>
      <c r="C316" s="2" t="s">
        <v>494</v>
      </c>
      <c r="D316" s="2" t="s">
        <v>497</v>
      </c>
      <c r="E316" s="4">
        <v>109</v>
      </c>
    </row>
    <row r="317" spans="1:5" ht="24" x14ac:dyDescent="0.25">
      <c r="A317">
        <v>130102</v>
      </c>
      <c r="B317" s="2" t="s">
        <v>732</v>
      </c>
      <c r="C317" s="2" t="s">
        <v>733</v>
      </c>
      <c r="D317" s="2" t="s">
        <v>735</v>
      </c>
      <c r="E317" s="4">
        <v>192</v>
      </c>
    </row>
    <row r="318" spans="1:5" x14ac:dyDescent="0.25">
      <c r="A318">
        <v>20206</v>
      </c>
      <c r="B318" s="2" t="s">
        <v>116</v>
      </c>
      <c r="C318" s="2" t="s">
        <v>123</v>
      </c>
      <c r="D318" s="2" t="s">
        <v>129</v>
      </c>
      <c r="E318" s="4"/>
    </row>
    <row r="319" spans="1:5" x14ac:dyDescent="0.25">
      <c r="A319">
        <v>80812</v>
      </c>
      <c r="B319" s="2" t="s">
        <v>451</v>
      </c>
      <c r="C319" s="2" t="s">
        <v>451</v>
      </c>
      <c r="D319" s="2" t="s">
        <v>129</v>
      </c>
      <c r="E319" s="4">
        <v>286</v>
      </c>
    </row>
    <row r="320" spans="1:5" x14ac:dyDescent="0.25">
      <c r="A320">
        <v>41102</v>
      </c>
      <c r="B320" s="2" t="s">
        <v>205</v>
      </c>
      <c r="C320" s="2" t="s">
        <v>284</v>
      </c>
      <c r="D320" s="2" t="s">
        <v>286</v>
      </c>
      <c r="E320" s="4"/>
    </row>
    <row r="321" spans="1:5" x14ac:dyDescent="0.25">
      <c r="A321">
        <v>41305</v>
      </c>
      <c r="B321" s="2" t="s">
        <v>205</v>
      </c>
      <c r="C321" s="2" t="s">
        <v>292</v>
      </c>
      <c r="D321" s="2" t="s">
        <v>296</v>
      </c>
      <c r="E321" s="4"/>
    </row>
    <row r="322" spans="1:5" ht="24" x14ac:dyDescent="0.25">
      <c r="A322">
        <v>120605</v>
      </c>
      <c r="B322" s="2" t="s">
        <v>608</v>
      </c>
      <c r="C322" s="2" t="s">
        <v>655</v>
      </c>
      <c r="D322" s="2" t="s">
        <v>655</v>
      </c>
      <c r="E322" s="4"/>
    </row>
    <row r="323" spans="1:5" ht="24" x14ac:dyDescent="0.25">
      <c r="A323">
        <v>120315</v>
      </c>
      <c r="B323" s="2" t="s">
        <v>608</v>
      </c>
      <c r="C323" s="2" t="s">
        <v>627</v>
      </c>
      <c r="D323" s="2" t="s">
        <v>714</v>
      </c>
      <c r="E323" s="4"/>
    </row>
    <row r="324" spans="1:5" ht="24" x14ac:dyDescent="0.25">
      <c r="A324">
        <v>120306</v>
      </c>
      <c r="B324" s="2" t="s">
        <v>608</v>
      </c>
      <c r="C324" s="2" t="s">
        <v>627</v>
      </c>
      <c r="D324" s="2" t="s">
        <v>633</v>
      </c>
      <c r="E324" s="4"/>
    </row>
    <row r="325" spans="1:5" ht="24" x14ac:dyDescent="0.25">
      <c r="A325">
        <v>120701</v>
      </c>
      <c r="B325" s="2" t="s">
        <v>608</v>
      </c>
      <c r="C325" s="2" t="s">
        <v>660</v>
      </c>
      <c r="D325" s="2" t="s">
        <v>660</v>
      </c>
      <c r="E325" s="4">
        <v>0</v>
      </c>
    </row>
    <row r="326" spans="1:5" x14ac:dyDescent="0.25">
      <c r="A326">
        <v>60102</v>
      </c>
      <c r="B326" s="2" t="s">
        <v>321</v>
      </c>
      <c r="C326" s="2" t="s">
        <v>322</v>
      </c>
      <c r="D326" s="2" t="s">
        <v>324</v>
      </c>
      <c r="E326" s="4">
        <v>1</v>
      </c>
    </row>
    <row r="327" spans="1:5" x14ac:dyDescent="0.25">
      <c r="A327">
        <v>60305</v>
      </c>
      <c r="B327" s="2" t="s">
        <v>321</v>
      </c>
      <c r="C327" s="2" t="s">
        <v>336</v>
      </c>
      <c r="D327" s="2" t="s">
        <v>324</v>
      </c>
      <c r="E327" s="4"/>
    </row>
    <row r="328" spans="1:5" x14ac:dyDescent="0.25">
      <c r="A328">
        <v>90104</v>
      </c>
      <c r="B328" s="2" t="s">
        <v>508</v>
      </c>
      <c r="C328" s="2" t="s">
        <v>509</v>
      </c>
      <c r="D328" s="2" t="s">
        <v>513</v>
      </c>
      <c r="E328" s="4"/>
    </row>
    <row r="329" spans="1:5" x14ac:dyDescent="0.25">
      <c r="A329">
        <v>70303</v>
      </c>
      <c r="B329" s="2" t="s">
        <v>374</v>
      </c>
      <c r="C329" s="2" t="s">
        <v>374</v>
      </c>
      <c r="D329" s="2" t="s">
        <v>408</v>
      </c>
      <c r="E329" s="4">
        <v>6</v>
      </c>
    </row>
    <row r="330" spans="1:5" x14ac:dyDescent="0.25">
      <c r="A330">
        <v>91002</v>
      </c>
      <c r="B330" s="2" t="s">
        <v>508</v>
      </c>
      <c r="C330" s="2" t="s">
        <v>573</v>
      </c>
      <c r="D330" s="2" t="s">
        <v>408</v>
      </c>
      <c r="E330" s="4">
        <v>7</v>
      </c>
    </row>
    <row r="331" spans="1:5" x14ac:dyDescent="0.25">
      <c r="A331">
        <v>40501</v>
      </c>
      <c r="B331" s="2" t="s">
        <v>205</v>
      </c>
      <c r="C331" s="2" t="s">
        <v>237</v>
      </c>
      <c r="D331" s="2" t="s">
        <v>238</v>
      </c>
      <c r="E331" s="4">
        <v>0</v>
      </c>
    </row>
    <row r="332" spans="1:5" x14ac:dyDescent="0.25">
      <c r="A332">
        <v>30204</v>
      </c>
      <c r="B332" s="2" t="s">
        <v>164</v>
      </c>
      <c r="C332" s="2" t="s">
        <v>179</v>
      </c>
      <c r="D332" s="2" t="s">
        <v>183</v>
      </c>
      <c r="E332" s="4"/>
    </row>
    <row r="333" spans="1:5" x14ac:dyDescent="0.25">
      <c r="A333">
        <v>70105</v>
      </c>
      <c r="B333" s="2" t="s">
        <v>374</v>
      </c>
      <c r="C333" s="2" t="s">
        <v>375</v>
      </c>
      <c r="D333" s="2" t="s">
        <v>380</v>
      </c>
      <c r="E333" s="4"/>
    </row>
    <row r="334" spans="1:5" x14ac:dyDescent="0.25">
      <c r="A334">
        <v>80202</v>
      </c>
      <c r="B334" s="2" t="s">
        <v>451</v>
      </c>
      <c r="C334" s="2" t="s">
        <v>452</v>
      </c>
      <c r="D334" s="2" t="s">
        <v>454</v>
      </c>
      <c r="E334" s="4"/>
    </row>
    <row r="335" spans="1:5" x14ac:dyDescent="0.25">
      <c r="A335">
        <v>130905</v>
      </c>
      <c r="B335" s="2" t="s">
        <v>732</v>
      </c>
      <c r="C335" s="2" t="s">
        <v>252</v>
      </c>
      <c r="D335" s="2" t="s">
        <v>781</v>
      </c>
      <c r="E335" s="4"/>
    </row>
    <row r="336" spans="1:5" x14ac:dyDescent="0.25">
      <c r="A336">
        <v>80203</v>
      </c>
      <c r="B336" s="2" t="s">
        <v>451</v>
      </c>
      <c r="C336" s="2" t="s">
        <v>452</v>
      </c>
      <c r="D336" s="2" t="s">
        <v>455</v>
      </c>
      <c r="E336" s="4"/>
    </row>
    <row r="337" spans="1:5" x14ac:dyDescent="0.25">
      <c r="A337">
        <v>70304</v>
      </c>
      <c r="B337" s="2" t="s">
        <v>374</v>
      </c>
      <c r="C337" s="2" t="s">
        <v>374</v>
      </c>
      <c r="D337" s="2" t="s">
        <v>409</v>
      </c>
      <c r="E337" s="4"/>
    </row>
    <row r="338" spans="1:5" x14ac:dyDescent="0.25">
      <c r="A338">
        <v>40506</v>
      </c>
      <c r="B338" s="2" t="s">
        <v>205</v>
      </c>
      <c r="C338" s="2" t="s">
        <v>237</v>
      </c>
      <c r="D338" s="2" t="s">
        <v>241</v>
      </c>
      <c r="E338" s="4">
        <v>1</v>
      </c>
    </row>
    <row r="339" spans="1:5" x14ac:dyDescent="0.25">
      <c r="A339">
        <v>80804</v>
      </c>
      <c r="B339" s="2" t="s">
        <v>451</v>
      </c>
      <c r="C339" s="2" t="s">
        <v>451</v>
      </c>
      <c r="D339" s="2" t="s">
        <v>475</v>
      </c>
      <c r="E339" s="4"/>
    </row>
    <row r="340" spans="1:5" x14ac:dyDescent="0.25">
      <c r="A340">
        <v>90603</v>
      </c>
      <c r="B340" s="2" t="s">
        <v>508</v>
      </c>
      <c r="C340" s="2" t="s">
        <v>548</v>
      </c>
      <c r="D340" s="2" t="s">
        <v>551</v>
      </c>
      <c r="E340" s="4"/>
    </row>
    <row r="341" spans="1:5" x14ac:dyDescent="0.25">
      <c r="A341">
        <v>10209</v>
      </c>
      <c r="B341" s="2" t="s">
        <v>92</v>
      </c>
      <c r="C341" s="2" t="s">
        <v>100</v>
      </c>
      <c r="D341" s="2" t="s">
        <v>107</v>
      </c>
      <c r="E341" s="4">
        <v>0</v>
      </c>
    </row>
    <row r="342" spans="1:5" x14ac:dyDescent="0.25">
      <c r="A342">
        <v>80204</v>
      </c>
      <c r="B342" s="2" t="s">
        <v>451</v>
      </c>
      <c r="C342" s="2" t="s">
        <v>452</v>
      </c>
      <c r="D342" s="2" t="s">
        <v>456</v>
      </c>
      <c r="E342" s="4"/>
    </row>
    <row r="343" spans="1:5" x14ac:dyDescent="0.25">
      <c r="A343">
        <v>90206</v>
      </c>
      <c r="B343" s="2" t="s">
        <v>508</v>
      </c>
      <c r="C343" s="2" t="s">
        <v>515</v>
      </c>
      <c r="D343" s="2" t="s">
        <v>520</v>
      </c>
      <c r="E343" s="4"/>
    </row>
    <row r="344" spans="1:5" x14ac:dyDescent="0.25">
      <c r="A344">
        <v>130906</v>
      </c>
      <c r="B344" s="2" t="s">
        <v>732</v>
      </c>
      <c r="C344" s="2" t="s">
        <v>252</v>
      </c>
      <c r="D344" s="2" t="s">
        <v>520</v>
      </c>
      <c r="E344" s="4">
        <v>1</v>
      </c>
    </row>
    <row r="345" spans="1:5" x14ac:dyDescent="0.25">
      <c r="A345">
        <v>70209</v>
      </c>
      <c r="B345" s="2" t="s">
        <v>374</v>
      </c>
      <c r="C345" s="2" t="s">
        <v>105</v>
      </c>
      <c r="D345" s="2" t="s">
        <v>393</v>
      </c>
      <c r="E345" s="4"/>
    </row>
    <row r="346" spans="1:5" x14ac:dyDescent="0.25">
      <c r="A346">
        <v>70408</v>
      </c>
      <c r="B346" s="2" t="s">
        <v>374</v>
      </c>
      <c r="C346" s="2" t="s">
        <v>418</v>
      </c>
      <c r="D346" s="2" t="s">
        <v>425</v>
      </c>
      <c r="E346" s="4"/>
    </row>
    <row r="347" spans="1:5" x14ac:dyDescent="0.25">
      <c r="A347">
        <v>90401</v>
      </c>
      <c r="B347" s="2" t="s">
        <v>508</v>
      </c>
      <c r="C347" s="2" t="s">
        <v>425</v>
      </c>
      <c r="D347" s="2" t="s">
        <v>533</v>
      </c>
      <c r="E347" s="4">
        <v>9</v>
      </c>
    </row>
    <row r="348" spans="1:5" x14ac:dyDescent="0.25">
      <c r="A348">
        <v>70210</v>
      </c>
      <c r="B348" s="2" t="s">
        <v>374</v>
      </c>
      <c r="C348" s="2" t="s">
        <v>105</v>
      </c>
      <c r="D348" s="2" t="s">
        <v>394</v>
      </c>
      <c r="E348" s="4"/>
    </row>
    <row r="349" spans="1:5" x14ac:dyDescent="0.25">
      <c r="A349">
        <v>90103</v>
      </c>
      <c r="B349" s="2" t="s">
        <v>508</v>
      </c>
      <c r="C349" s="2" t="s">
        <v>509</v>
      </c>
      <c r="D349" s="2" t="s">
        <v>512</v>
      </c>
      <c r="E349" s="4"/>
    </row>
    <row r="350" spans="1:5" x14ac:dyDescent="0.25">
      <c r="A350">
        <v>70211</v>
      </c>
      <c r="B350" s="2" t="s">
        <v>374</v>
      </c>
      <c r="C350" s="2" t="s">
        <v>105</v>
      </c>
      <c r="D350" s="2" t="s">
        <v>395</v>
      </c>
      <c r="E350" s="4"/>
    </row>
    <row r="351" spans="1:5" x14ac:dyDescent="0.25">
      <c r="A351">
        <v>50101</v>
      </c>
      <c r="B351" s="2" t="s">
        <v>301</v>
      </c>
      <c r="C351" s="2" t="s">
        <v>302</v>
      </c>
      <c r="D351" s="2" t="s">
        <v>303</v>
      </c>
      <c r="E351" s="4">
        <v>7</v>
      </c>
    </row>
    <row r="352" spans="1:5" x14ac:dyDescent="0.25">
      <c r="A352">
        <v>50101</v>
      </c>
      <c r="B352" s="2" t="s">
        <v>301</v>
      </c>
      <c r="C352" s="2" t="s">
        <v>302</v>
      </c>
      <c r="D352" s="2" t="s">
        <v>303</v>
      </c>
      <c r="E352" s="4">
        <v>7</v>
      </c>
    </row>
    <row r="353" spans="1:5" x14ac:dyDescent="0.25">
      <c r="A353">
        <v>70106</v>
      </c>
      <c r="B353" s="2" t="s">
        <v>374</v>
      </c>
      <c r="C353" s="2" t="s">
        <v>375</v>
      </c>
      <c r="D353" s="2" t="s">
        <v>381</v>
      </c>
      <c r="E353" s="4">
        <v>0</v>
      </c>
    </row>
    <row r="354" spans="1:5" x14ac:dyDescent="0.25">
      <c r="A354">
        <v>20505</v>
      </c>
      <c r="B354" s="2" t="s">
        <v>116</v>
      </c>
      <c r="C354" s="2" t="s">
        <v>148</v>
      </c>
      <c r="D354" s="2" t="s">
        <v>153</v>
      </c>
      <c r="E354" s="4">
        <v>0</v>
      </c>
    </row>
    <row r="355" spans="1:5" x14ac:dyDescent="0.25">
      <c r="A355">
        <v>91003</v>
      </c>
      <c r="B355" s="2" t="s">
        <v>508</v>
      </c>
      <c r="C355" s="2" t="s">
        <v>573</v>
      </c>
      <c r="D355" s="2" t="s">
        <v>575</v>
      </c>
      <c r="E355" s="4">
        <v>8</v>
      </c>
    </row>
    <row r="356" spans="1:5" x14ac:dyDescent="0.25">
      <c r="A356">
        <v>20301</v>
      </c>
      <c r="B356" s="2" t="s">
        <v>116</v>
      </c>
      <c r="C356" s="2" t="s">
        <v>134</v>
      </c>
      <c r="D356" s="2" t="s">
        <v>135</v>
      </c>
      <c r="E356" s="4">
        <v>5</v>
      </c>
    </row>
    <row r="357" spans="1:5" x14ac:dyDescent="0.25">
      <c r="A357">
        <v>60306</v>
      </c>
      <c r="B357" s="2" t="s">
        <v>321</v>
      </c>
      <c r="C357" s="2" t="s">
        <v>336</v>
      </c>
      <c r="D357" s="2" t="s">
        <v>341</v>
      </c>
      <c r="E357" s="4"/>
    </row>
    <row r="358" spans="1:5" x14ac:dyDescent="0.25">
      <c r="A358">
        <v>90207</v>
      </c>
      <c r="B358" s="2" t="s">
        <v>508</v>
      </c>
      <c r="C358" s="2" t="s">
        <v>515</v>
      </c>
      <c r="D358" s="2" t="s">
        <v>521</v>
      </c>
      <c r="E358" s="4"/>
    </row>
    <row r="359" spans="1:5" x14ac:dyDescent="0.25">
      <c r="A359">
        <v>91004</v>
      </c>
      <c r="B359" s="2" t="s">
        <v>508</v>
      </c>
      <c r="C359" s="2" t="s">
        <v>573</v>
      </c>
      <c r="D359" s="2" t="s">
        <v>576</v>
      </c>
      <c r="E359" s="4"/>
    </row>
    <row r="360" spans="1:5" x14ac:dyDescent="0.25">
      <c r="A360">
        <v>130712</v>
      </c>
      <c r="B360" s="2" t="s">
        <v>732</v>
      </c>
      <c r="C360" s="2" t="s">
        <v>763</v>
      </c>
      <c r="D360" s="2" t="s">
        <v>773</v>
      </c>
      <c r="E360" s="4">
        <v>0</v>
      </c>
    </row>
    <row r="361" spans="1:5" x14ac:dyDescent="0.25">
      <c r="A361">
        <v>130712</v>
      </c>
      <c r="B361" s="2" t="s">
        <v>732</v>
      </c>
      <c r="C361" s="2" t="s">
        <v>763</v>
      </c>
      <c r="D361" s="2" t="s">
        <v>773</v>
      </c>
      <c r="E361" s="4">
        <v>0</v>
      </c>
    </row>
    <row r="362" spans="1:5" x14ac:dyDescent="0.25">
      <c r="A362">
        <v>91107</v>
      </c>
      <c r="B362" s="2" t="s">
        <v>508</v>
      </c>
      <c r="C362" s="2" t="s">
        <v>583</v>
      </c>
      <c r="D362" s="2" t="s">
        <v>588</v>
      </c>
      <c r="E362" s="4">
        <v>1</v>
      </c>
    </row>
    <row r="363" spans="1:5" x14ac:dyDescent="0.25">
      <c r="A363">
        <v>90208</v>
      </c>
      <c r="B363" s="2" t="s">
        <v>508</v>
      </c>
      <c r="C363" s="2" t="s">
        <v>515</v>
      </c>
      <c r="D363" s="2" t="s">
        <v>522</v>
      </c>
      <c r="E363" s="4"/>
    </row>
    <row r="364" spans="1:5" x14ac:dyDescent="0.25">
      <c r="A364">
        <v>70212</v>
      </c>
      <c r="B364" s="2" t="s">
        <v>374</v>
      </c>
      <c r="C364" s="2" t="s">
        <v>105</v>
      </c>
      <c r="D364" s="2" t="s">
        <v>396</v>
      </c>
      <c r="E364" s="4"/>
    </row>
    <row r="365" spans="1:5" x14ac:dyDescent="0.25">
      <c r="A365">
        <v>91112</v>
      </c>
      <c r="B365" s="2" t="s">
        <v>508</v>
      </c>
      <c r="C365" s="2" t="s">
        <v>583</v>
      </c>
      <c r="D365" s="2" t="s">
        <v>711</v>
      </c>
      <c r="E365" s="4">
        <v>3</v>
      </c>
    </row>
    <row r="366" spans="1:5" x14ac:dyDescent="0.25">
      <c r="A366">
        <v>130308</v>
      </c>
      <c r="B366" s="2" t="s">
        <v>732</v>
      </c>
      <c r="C366" s="2" t="s">
        <v>741</v>
      </c>
      <c r="D366" s="2" t="s">
        <v>748</v>
      </c>
      <c r="E366" s="4"/>
    </row>
    <row r="367" spans="1:5" x14ac:dyDescent="0.25">
      <c r="A367">
        <v>70709</v>
      </c>
      <c r="B367" s="2" t="s">
        <v>374</v>
      </c>
      <c r="C367" s="2" t="s">
        <v>439</v>
      </c>
      <c r="D367" s="2" t="s">
        <v>448</v>
      </c>
      <c r="E367" s="4"/>
    </row>
    <row r="368" spans="1:5" ht="24" x14ac:dyDescent="0.25">
      <c r="A368">
        <v>70301</v>
      </c>
      <c r="B368" s="2" t="s">
        <v>374</v>
      </c>
      <c r="C368" s="2" t="s">
        <v>374</v>
      </c>
      <c r="D368" s="2" t="s">
        <v>407</v>
      </c>
      <c r="E368" s="4">
        <v>2</v>
      </c>
    </row>
    <row r="369" spans="1:5" x14ac:dyDescent="0.25">
      <c r="A369">
        <v>90209</v>
      </c>
      <c r="B369" s="2" t="s">
        <v>508</v>
      </c>
      <c r="C369" s="2" t="s">
        <v>515</v>
      </c>
      <c r="D369" s="2" t="s">
        <v>523</v>
      </c>
      <c r="E369" s="4"/>
    </row>
    <row r="370" spans="1:5" x14ac:dyDescent="0.25">
      <c r="A370">
        <v>90209</v>
      </c>
      <c r="B370" s="2" t="s">
        <v>508</v>
      </c>
      <c r="C370" s="2" t="s">
        <v>515</v>
      </c>
      <c r="D370" s="2" t="s">
        <v>523</v>
      </c>
      <c r="E370" s="4"/>
    </row>
    <row r="371" spans="1:5" x14ac:dyDescent="0.25">
      <c r="A371">
        <v>70603</v>
      </c>
      <c r="B371" s="2" t="s">
        <v>374</v>
      </c>
      <c r="C371" s="2" t="s">
        <v>121</v>
      </c>
      <c r="D371" s="2" t="s">
        <v>437</v>
      </c>
      <c r="E371" s="4"/>
    </row>
    <row r="372" spans="1:5" x14ac:dyDescent="0.25">
      <c r="A372">
        <v>41103</v>
      </c>
      <c r="B372" s="2" t="s">
        <v>205</v>
      </c>
      <c r="C372" s="2" t="s">
        <v>284</v>
      </c>
      <c r="D372" s="2" t="s">
        <v>287</v>
      </c>
      <c r="E372" s="4"/>
    </row>
    <row r="373" spans="1:5" ht="24" x14ac:dyDescent="0.25">
      <c r="A373">
        <v>110102</v>
      </c>
      <c r="B373" s="2" t="s">
        <v>601</v>
      </c>
      <c r="C373" s="2" t="s">
        <v>602</v>
      </c>
      <c r="D373" s="2" t="s">
        <v>604</v>
      </c>
      <c r="E373" s="4">
        <v>3</v>
      </c>
    </row>
    <row r="374" spans="1:5" x14ac:dyDescent="0.25">
      <c r="A374">
        <v>41306</v>
      </c>
      <c r="B374" s="2" t="s">
        <v>205</v>
      </c>
      <c r="C374" s="2" t="s">
        <v>292</v>
      </c>
      <c r="D374" s="2" t="s">
        <v>297</v>
      </c>
      <c r="E374" s="4"/>
    </row>
    <row r="375" spans="1:5" ht="24" x14ac:dyDescent="0.25">
      <c r="A375">
        <v>120404</v>
      </c>
      <c r="B375" s="2" t="s">
        <v>608</v>
      </c>
      <c r="C375" s="2" t="s">
        <v>639</v>
      </c>
      <c r="D375" s="2" t="s">
        <v>643</v>
      </c>
      <c r="E375" s="4"/>
    </row>
    <row r="376" spans="1:5" x14ac:dyDescent="0.25">
      <c r="A376">
        <v>60602</v>
      </c>
      <c r="B376" s="2" t="s">
        <v>321</v>
      </c>
      <c r="C376" s="2" t="s">
        <v>359</v>
      </c>
      <c r="D376" s="2" t="s">
        <v>361</v>
      </c>
      <c r="E376" s="4"/>
    </row>
    <row r="377" spans="1:5" x14ac:dyDescent="0.25">
      <c r="A377">
        <v>70305</v>
      </c>
      <c r="B377" s="2" t="s">
        <v>374</v>
      </c>
      <c r="C377" s="2" t="s">
        <v>374</v>
      </c>
      <c r="D377" s="2" t="s">
        <v>410</v>
      </c>
      <c r="E377" s="4"/>
    </row>
    <row r="378" spans="1:5" x14ac:dyDescent="0.25">
      <c r="A378">
        <v>90308</v>
      </c>
      <c r="B378" s="2" t="s">
        <v>508</v>
      </c>
      <c r="C378" s="2" t="s">
        <v>526</v>
      </c>
      <c r="D378" s="2" t="s">
        <v>410</v>
      </c>
      <c r="E378" s="4"/>
    </row>
    <row r="379" spans="1:5" x14ac:dyDescent="0.25">
      <c r="A379">
        <v>80816</v>
      </c>
      <c r="B379" s="2" t="s">
        <v>451</v>
      </c>
      <c r="C379" s="2" t="s">
        <v>451</v>
      </c>
      <c r="D379" s="2" t="s">
        <v>484</v>
      </c>
      <c r="E379" s="4">
        <v>143</v>
      </c>
    </row>
    <row r="380" spans="1:5" x14ac:dyDescent="0.25">
      <c r="A380">
        <v>10210</v>
      </c>
      <c r="B380" s="2" t="s">
        <v>92</v>
      </c>
      <c r="C380" s="2" t="s">
        <v>100</v>
      </c>
      <c r="D380" s="2" t="s">
        <v>108</v>
      </c>
      <c r="E380" s="4"/>
    </row>
    <row r="381" spans="1:5" x14ac:dyDescent="0.25">
      <c r="A381">
        <v>80817</v>
      </c>
      <c r="B381" s="2" t="s">
        <v>451</v>
      </c>
      <c r="C381" s="2" t="s">
        <v>451</v>
      </c>
      <c r="D381" s="2" t="s">
        <v>485</v>
      </c>
      <c r="E381" s="4">
        <v>54</v>
      </c>
    </row>
    <row r="382" spans="1:5" x14ac:dyDescent="0.25">
      <c r="A382">
        <v>70306</v>
      </c>
      <c r="B382" s="2" t="s">
        <v>374</v>
      </c>
      <c r="C382" s="2" t="s">
        <v>374</v>
      </c>
      <c r="D382" s="2" t="s">
        <v>411</v>
      </c>
      <c r="E382" s="4"/>
    </row>
    <row r="383" spans="1:5" x14ac:dyDescent="0.25">
      <c r="A383">
        <v>90210</v>
      </c>
      <c r="B383" s="2" t="s">
        <v>508</v>
      </c>
      <c r="C383" s="2" t="s">
        <v>515</v>
      </c>
      <c r="D383" s="2" t="s">
        <v>524</v>
      </c>
      <c r="E383" s="4"/>
    </row>
    <row r="384" spans="1:5" x14ac:dyDescent="0.25">
      <c r="A384">
        <v>20405</v>
      </c>
      <c r="B384" s="2" t="s">
        <v>116</v>
      </c>
      <c r="C384" s="2" t="s">
        <v>141</v>
      </c>
      <c r="D384" s="2" t="s">
        <v>146</v>
      </c>
      <c r="E384" s="4"/>
    </row>
    <row r="385" spans="1:5" x14ac:dyDescent="0.25">
      <c r="A385">
        <v>90702</v>
      </c>
      <c r="B385" s="2" t="s">
        <v>508</v>
      </c>
      <c r="C385" s="2" t="s">
        <v>556</v>
      </c>
      <c r="D385" s="2" t="s">
        <v>146</v>
      </c>
      <c r="E385" s="4"/>
    </row>
    <row r="386" spans="1:5" x14ac:dyDescent="0.25">
      <c r="A386">
        <v>41101</v>
      </c>
      <c r="B386" s="2" t="s">
        <v>205</v>
      </c>
      <c r="C386" s="2" t="s">
        <v>284</v>
      </c>
      <c r="D386" s="2" t="s">
        <v>285</v>
      </c>
      <c r="E386" s="4"/>
    </row>
    <row r="387" spans="1:5" x14ac:dyDescent="0.25">
      <c r="A387">
        <v>130407</v>
      </c>
      <c r="B387" s="2" t="s">
        <v>732</v>
      </c>
      <c r="C387" s="2" t="s">
        <v>753</v>
      </c>
      <c r="D387" s="2" t="s">
        <v>285</v>
      </c>
      <c r="E387" s="4">
        <v>0</v>
      </c>
    </row>
    <row r="388" spans="1:5" x14ac:dyDescent="0.25">
      <c r="A388">
        <v>60309</v>
      </c>
      <c r="B388" s="2" t="s">
        <v>321</v>
      </c>
      <c r="C388" s="2" t="s">
        <v>336</v>
      </c>
      <c r="D388" s="2" t="s">
        <v>344</v>
      </c>
      <c r="E388" s="4"/>
    </row>
    <row r="389" spans="1:5" x14ac:dyDescent="0.25">
      <c r="A389">
        <v>20306</v>
      </c>
      <c r="B389" s="2" t="s">
        <v>116</v>
      </c>
      <c r="C389" s="2" t="s">
        <v>134</v>
      </c>
      <c r="D389" s="2" t="s">
        <v>140</v>
      </c>
      <c r="E389" s="4"/>
    </row>
    <row r="390" spans="1:5" x14ac:dyDescent="0.25">
      <c r="A390">
        <v>40606</v>
      </c>
      <c r="B390" s="2" t="s">
        <v>205</v>
      </c>
      <c r="C390" s="2" t="s">
        <v>247</v>
      </c>
      <c r="D390" s="2" t="s">
        <v>140</v>
      </c>
      <c r="E390" s="4">
        <v>7</v>
      </c>
    </row>
    <row r="391" spans="1:5" x14ac:dyDescent="0.25">
      <c r="A391">
        <v>80820</v>
      </c>
      <c r="B391" s="2" t="s">
        <v>451</v>
      </c>
      <c r="C391" s="2" t="s">
        <v>451</v>
      </c>
      <c r="D391" s="2" t="s">
        <v>489</v>
      </c>
      <c r="E391" s="4">
        <v>180</v>
      </c>
    </row>
    <row r="392" spans="1:5" x14ac:dyDescent="0.25">
      <c r="A392">
        <v>80505</v>
      </c>
      <c r="B392" s="2" t="s">
        <v>451</v>
      </c>
      <c r="C392" s="2" t="s">
        <v>330</v>
      </c>
      <c r="D392" s="2" t="s">
        <v>462</v>
      </c>
      <c r="E392" s="4">
        <v>14</v>
      </c>
    </row>
    <row r="393" spans="1:5" x14ac:dyDescent="0.25">
      <c r="A393">
        <v>60201</v>
      </c>
      <c r="B393" s="2" t="s">
        <v>321</v>
      </c>
      <c r="C393" s="2" t="s">
        <v>328</v>
      </c>
      <c r="D393" s="2" t="s">
        <v>329</v>
      </c>
      <c r="E393" s="4"/>
    </row>
    <row r="394" spans="1:5" x14ac:dyDescent="0.25">
      <c r="A394">
        <v>130309</v>
      </c>
      <c r="B394" s="2" t="s">
        <v>732</v>
      </c>
      <c r="C394" s="2" t="s">
        <v>741</v>
      </c>
      <c r="D394" s="2" t="s">
        <v>749</v>
      </c>
      <c r="E394" s="4">
        <v>4</v>
      </c>
    </row>
    <row r="395" spans="1:5" x14ac:dyDescent="0.25">
      <c r="A395">
        <v>70409</v>
      </c>
      <c r="B395" s="2" t="s">
        <v>374</v>
      </c>
      <c r="C395" s="2" t="s">
        <v>418</v>
      </c>
      <c r="D395" s="2" t="s">
        <v>426</v>
      </c>
      <c r="E395" s="4"/>
    </row>
    <row r="396" spans="1:5" x14ac:dyDescent="0.25">
      <c r="A396">
        <v>90501</v>
      </c>
      <c r="B396" s="2" t="s">
        <v>508</v>
      </c>
      <c r="C396" s="2" t="s">
        <v>426</v>
      </c>
      <c r="D396" s="2" t="s">
        <v>538</v>
      </c>
      <c r="E396" s="4">
        <v>2</v>
      </c>
    </row>
    <row r="397" spans="1:5" x14ac:dyDescent="0.25">
      <c r="A397">
        <v>70213</v>
      </c>
      <c r="B397" s="2" t="s">
        <v>374</v>
      </c>
      <c r="C397" s="2" t="s">
        <v>105</v>
      </c>
      <c r="D397" s="2" t="s">
        <v>397</v>
      </c>
      <c r="E397" s="4"/>
    </row>
    <row r="398" spans="1:5" x14ac:dyDescent="0.25">
      <c r="A398">
        <v>10207</v>
      </c>
      <c r="B398" s="2" t="s">
        <v>92</v>
      </c>
      <c r="C398" s="2" t="s">
        <v>100</v>
      </c>
      <c r="D398" s="2" t="s">
        <v>105</v>
      </c>
      <c r="E398" s="4">
        <v>0</v>
      </c>
    </row>
    <row r="399" spans="1:5" x14ac:dyDescent="0.25">
      <c r="A399">
        <v>70201</v>
      </c>
      <c r="B399" s="2" t="s">
        <v>374</v>
      </c>
      <c r="C399" s="2" t="s">
        <v>105</v>
      </c>
      <c r="D399" s="2" t="s">
        <v>386</v>
      </c>
      <c r="E399" s="4">
        <v>0</v>
      </c>
    </row>
    <row r="400" spans="1:5" x14ac:dyDescent="0.25">
      <c r="A400">
        <v>70214</v>
      </c>
      <c r="B400" s="2" t="s">
        <v>374</v>
      </c>
      <c r="C400" s="2" t="s">
        <v>105</v>
      </c>
      <c r="D400" s="2" t="s">
        <v>398</v>
      </c>
      <c r="E400" s="4"/>
    </row>
    <row r="401" spans="1:5" x14ac:dyDescent="0.25">
      <c r="A401">
        <v>70107</v>
      </c>
      <c r="B401" s="2" t="s">
        <v>374</v>
      </c>
      <c r="C401" s="2" t="s">
        <v>375</v>
      </c>
      <c r="D401" s="2" t="s">
        <v>382</v>
      </c>
      <c r="E401" s="4"/>
    </row>
    <row r="402" spans="1:5" x14ac:dyDescent="0.25">
      <c r="A402">
        <v>130907</v>
      </c>
      <c r="B402" s="2" t="s">
        <v>732</v>
      </c>
      <c r="C402" s="2" t="s">
        <v>252</v>
      </c>
      <c r="D402" s="2" t="s">
        <v>782</v>
      </c>
      <c r="E402" s="4"/>
    </row>
    <row r="403" spans="1:5" x14ac:dyDescent="0.25">
      <c r="A403">
        <v>60205</v>
      </c>
      <c r="B403" s="2" t="s">
        <v>321</v>
      </c>
      <c r="C403" s="2" t="s">
        <v>328</v>
      </c>
      <c r="D403" s="2" t="s">
        <v>333</v>
      </c>
      <c r="E403" s="4">
        <v>2</v>
      </c>
    </row>
    <row r="404" spans="1:5" x14ac:dyDescent="0.25">
      <c r="A404">
        <v>90604</v>
      </c>
      <c r="B404" s="2" t="s">
        <v>508</v>
      </c>
      <c r="C404" s="2" t="s">
        <v>548</v>
      </c>
      <c r="D404" s="2" t="s">
        <v>333</v>
      </c>
      <c r="E404" s="4"/>
    </row>
    <row r="405" spans="1:5" x14ac:dyDescent="0.25">
      <c r="A405">
        <v>130310</v>
      </c>
      <c r="B405" s="2" t="s">
        <v>732</v>
      </c>
      <c r="C405" s="2" t="s">
        <v>741</v>
      </c>
      <c r="D405" s="2" t="s">
        <v>745</v>
      </c>
      <c r="E405" s="4">
        <v>13</v>
      </c>
    </row>
    <row r="406" spans="1:5" x14ac:dyDescent="0.25">
      <c r="A406">
        <v>30108</v>
      </c>
      <c r="B406" s="2" t="s">
        <v>164</v>
      </c>
      <c r="C406" s="2" t="s">
        <v>164</v>
      </c>
      <c r="D406" s="2" t="s">
        <v>171</v>
      </c>
      <c r="E406" s="4">
        <v>1</v>
      </c>
    </row>
    <row r="407" spans="1:5" x14ac:dyDescent="0.25">
      <c r="A407">
        <v>40202</v>
      </c>
      <c r="B407" s="2" t="s">
        <v>205</v>
      </c>
      <c r="C407" s="2" t="s">
        <v>216</v>
      </c>
      <c r="D407" s="2" t="s">
        <v>218</v>
      </c>
      <c r="E407" s="4"/>
    </row>
    <row r="408" spans="1:5" x14ac:dyDescent="0.25">
      <c r="A408">
        <v>70108</v>
      </c>
      <c r="B408" s="2" t="s">
        <v>374</v>
      </c>
      <c r="C408" s="2" t="s">
        <v>375</v>
      </c>
      <c r="D408" s="2" t="s">
        <v>383</v>
      </c>
      <c r="E408" s="4"/>
    </row>
    <row r="409" spans="1:5" x14ac:dyDescent="0.25">
      <c r="A409">
        <v>60104</v>
      </c>
      <c r="B409" s="2" t="s">
        <v>321</v>
      </c>
      <c r="C409" s="2" t="s">
        <v>322</v>
      </c>
      <c r="D409" s="2" t="s">
        <v>326</v>
      </c>
      <c r="E409" s="4">
        <v>1</v>
      </c>
    </row>
    <row r="410" spans="1:5" ht="24" x14ac:dyDescent="0.25">
      <c r="A410">
        <v>91201</v>
      </c>
      <c r="B410" s="2" t="s">
        <v>508</v>
      </c>
      <c r="C410" s="2" t="s">
        <v>591</v>
      </c>
      <c r="D410" s="2" t="s">
        <v>592</v>
      </c>
      <c r="E410" s="4">
        <v>0</v>
      </c>
    </row>
    <row r="411" spans="1:5" x14ac:dyDescent="0.25">
      <c r="A411">
        <v>60504</v>
      </c>
      <c r="B411" s="2" t="s">
        <v>321</v>
      </c>
      <c r="C411" s="2" t="s">
        <v>352</v>
      </c>
      <c r="D411" s="2" t="s">
        <v>355</v>
      </c>
      <c r="E411" s="4"/>
    </row>
    <row r="412" spans="1:5" x14ac:dyDescent="0.25">
      <c r="A412">
        <v>70410</v>
      </c>
      <c r="B412" s="2" t="s">
        <v>374</v>
      </c>
      <c r="C412" s="2" t="s">
        <v>418</v>
      </c>
      <c r="D412" s="2" t="s">
        <v>427</v>
      </c>
      <c r="E412" s="4"/>
    </row>
    <row r="413" spans="1:5" x14ac:dyDescent="0.25">
      <c r="A413">
        <v>20304</v>
      </c>
      <c r="B413" s="2" t="s">
        <v>116</v>
      </c>
      <c r="C413" s="2" t="s">
        <v>134</v>
      </c>
      <c r="D413" s="2" t="s">
        <v>138</v>
      </c>
      <c r="E413" s="4"/>
    </row>
    <row r="414" spans="1:5" x14ac:dyDescent="0.25">
      <c r="A414">
        <v>60404</v>
      </c>
      <c r="B414" s="2" t="s">
        <v>321</v>
      </c>
      <c r="C414" s="2" t="s">
        <v>345</v>
      </c>
      <c r="D414" s="2" t="s">
        <v>138</v>
      </c>
      <c r="E414" s="4"/>
    </row>
    <row r="415" spans="1:5" x14ac:dyDescent="0.25">
      <c r="A415">
        <v>90404</v>
      </c>
      <c r="B415" s="2" t="s">
        <v>508</v>
      </c>
      <c r="C415" s="2" t="s">
        <v>425</v>
      </c>
      <c r="D415" s="2" t="s">
        <v>138</v>
      </c>
      <c r="E415" s="4"/>
    </row>
    <row r="416" spans="1:5" x14ac:dyDescent="0.25">
      <c r="A416">
        <v>70309</v>
      </c>
      <c r="B416" s="2" t="s">
        <v>374</v>
      </c>
      <c r="C416" s="2" t="s">
        <v>374</v>
      </c>
      <c r="D416" s="2" t="s">
        <v>413</v>
      </c>
      <c r="E416" s="4"/>
    </row>
    <row r="417" spans="1:5" x14ac:dyDescent="0.25">
      <c r="A417">
        <v>20307</v>
      </c>
      <c r="B417" s="2" t="s">
        <v>116</v>
      </c>
      <c r="C417" s="2" t="s">
        <v>134</v>
      </c>
      <c r="D417" s="2" t="s">
        <v>678</v>
      </c>
      <c r="E417" s="4"/>
    </row>
    <row r="418" spans="1:5" x14ac:dyDescent="0.25">
      <c r="A418">
        <v>90507</v>
      </c>
      <c r="B418" s="2" t="s">
        <v>508</v>
      </c>
      <c r="C418" s="2" t="s">
        <v>426</v>
      </c>
      <c r="D418" s="2" t="s">
        <v>542</v>
      </c>
      <c r="E418" s="4"/>
    </row>
    <row r="419" spans="1:5" ht="24" x14ac:dyDescent="0.25">
      <c r="A419">
        <v>120903</v>
      </c>
      <c r="B419" s="2" t="s">
        <v>608</v>
      </c>
      <c r="C419" s="2" t="s">
        <v>726</v>
      </c>
      <c r="D419" s="2" t="s">
        <v>729</v>
      </c>
      <c r="E419" s="4"/>
    </row>
    <row r="420" spans="1:5" x14ac:dyDescent="0.25">
      <c r="A420">
        <v>40708</v>
      </c>
      <c r="B420" s="2" t="s">
        <v>205</v>
      </c>
      <c r="C420" s="2" t="s">
        <v>255</v>
      </c>
      <c r="D420" s="2" t="s">
        <v>263</v>
      </c>
      <c r="E420" s="4">
        <v>2</v>
      </c>
    </row>
    <row r="421" spans="1:5" x14ac:dyDescent="0.25">
      <c r="A421">
        <v>91008</v>
      </c>
      <c r="B421" s="2" t="s">
        <v>508</v>
      </c>
      <c r="C421" s="2" t="s">
        <v>573</v>
      </c>
      <c r="D421" s="2" t="s">
        <v>263</v>
      </c>
      <c r="E421" s="4">
        <v>18</v>
      </c>
    </row>
    <row r="422" spans="1:5" x14ac:dyDescent="0.25">
      <c r="A422">
        <v>40703</v>
      </c>
      <c r="B422" s="2" t="s">
        <v>205</v>
      </c>
      <c r="C422" s="2" t="s">
        <v>255</v>
      </c>
      <c r="D422" s="2" t="s">
        <v>258</v>
      </c>
      <c r="E422" s="4"/>
    </row>
    <row r="423" spans="1:5" x14ac:dyDescent="0.25">
      <c r="A423">
        <v>40803</v>
      </c>
      <c r="B423" s="2" t="s">
        <v>205</v>
      </c>
      <c r="C423" s="2" t="s">
        <v>264</v>
      </c>
      <c r="D423" s="2" t="s">
        <v>266</v>
      </c>
      <c r="E423" s="4">
        <v>0</v>
      </c>
    </row>
    <row r="424" spans="1:5" x14ac:dyDescent="0.25">
      <c r="A424">
        <v>70307</v>
      </c>
      <c r="B424" s="2" t="s">
        <v>374</v>
      </c>
      <c r="C424" s="2" t="s">
        <v>374</v>
      </c>
      <c r="D424" s="2" t="s">
        <v>266</v>
      </c>
      <c r="E424" s="4"/>
    </row>
    <row r="425" spans="1:5" x14ac:dyDescent="0.25">
      <c r="A425">
        <v>70502</v>
      </c>
      <c r="B425" s="2" t="s">
        <v>374</v>
      </c>
      <c r="C425" s="2" t="s">
        <v>429</v>
      </c>
      <c r="D425" s="2" t="s">
        <v>431</v>
      </c>
      <c r="E425" s="4"/>
    </row>
    <row r="426" spans="1:5" x14ac:dyDescent="0.25">
      <c r="A426">
        <v>60705</v>
      </c>
      <c r="B426" s="2" t="s">
        <v>321</v>
      </c>
      <c r="C426" s="2" t="s">
        <v>368</v>
      </c>
      <c r="D426" s="2" t="s">
        <v>373</v>
      </c>
      <c r="E426" s="4">
        <v>1</v>
      </c>
    </row>
    <row r="427" spans="1:5" x14ac:dyDescent="0.25">
      <c r="A427">
        <v>60503</v>
      </c>
      <c r="B427" s="2" t="s">
        <v>321</v>
      </c>
      <c r="C427" s="2" t="s">
        <v>352</v>
      </c>
      <c r="D427" s="2" t="s">
        <v>354</v>
      </c>
      <c r="E427" s="4"/>
    </row>
    <row r="428" spans="1:5" x14ac:dyDescent="0.25">
      <c r="A428">
        <v>90703</v>
      </c>
      <c r="B428" s="2" t="s">
        <v>508</v>
      </c>
      <c r="C428" s="2" t="s">
        <v>556</v>
      </c>
      <c r="D428" s="2" t="s">
        <v>354</v>
      </c>
      <c r="E428" s="4"/>
    </row>
    <row r="429" spans="1:5" x14ac:dyDescent="0.25">
      <c r="A429">
        <v>60307</v>
      </c>
      <c r="B429" s="2" t="s">
        <v>321</v>
      </c>
      <c r="C429" s="2" t="s">
        <v>336</v>
      </c>
      <c r="D429" s="2" t="s">
        <v>342</v>
      </c>
      <c r="E429" s="4"/>
    </row>
    <row r="430" spans="1:5" x14ac:dyDescent="0.25">
      <c r="A430">
        <v>60308</v>
      </c>
      <c r="B430" s="2" t="s">
        <v>321</v>
      </c>
      <c r="C430" s="2" t="s">
        <v>336</v>
      </c>
      <c r="D430" s="2" t="s">
        <v>343</v>
      </c>
      <c r="E430" s="4"/>
    </row>
    <row r="431" spans="1:5" x14ac:dyDescent="0.25">
      <c r="A431">
        <v>130713</v>
      </c>
      <c r="B431" s="2" t="s">
        <v>732</v>
      </c>
      <c r="C431" s="2" t="s">
        <v>763</v>
      </c>
      <c r="D431" s="2" t="s">
        <v>774</v>
      </c>
      <c r="E431" s="4">
        <v>2</v>
      </c>
    </row>
    <row r="432" spans="1:5" x14ac:dyDescent="0.25">
      <c r="A432">
        <v>90803</v>
      </c>
      <c r="B432" s="2" t="s">
        <v>508</v>
      </c>
      <c r="C432" s="2" t="s">
        <v>479</v>
      </c>
      <c r="D432" s="2" t="s">
        <v>562</v>
      </c>
      <c r="E432" s="4"/>
    </row>
    <row r="433" spans="1:5" x14ac:dyDescent="0.25">
      <c r="A433">
        <v>130908</v>
      </c>
      <c r="B433" s="2" t="s">
        <v>732</v>
      </c>
      <c r="C433" s="2" t="s">
        <v>252</v>
      </c>
      <c r="D433" s="2" t="s">
        <v>783</v>
      </c>
      <c r="E433" s="4">
        <v>0</v>
      </c>
    </row>
    <row r="434" spans="1:5" x14ac:dyDescent="0.25">
      <c r="A434">
        <v>60403</v>
      </c>
      <c r="B434" s="2" t="s">
        <v>321</v>
      </c>
      <c r="C434" s="2" t="s">
        <v>345</v>
      </c>
      <c r="D434" s="2" t="s">
        <v>348</v>
      </c>
      <c r="E434" s="4"/>
    </row>
    <row r="435" spans="1:5" x14ac:dyDescent="0.25">
      <c r="A435">
        <v>90406</v>
      </c>
      <c r="B435" s="2" t="s">
        <v>508</v>
      </c>
      <c r="C435" s="2" t="s">
        <v>425</v>
      </c>
      <c r="D435" s="2" t="s">
        <v>537</v>
      </c>
      <c r="E435" s="4">
        <v>0</v>
      </c>
    </row>
    <row r="436" spans="1:5" x14ac:dyDescent="0.25">
      <c r="A436">
        <v>40406</v>
      </c>
      <c r="B436" s="2" t="s">
        <v>205</v>
      </c>
      <c r="C436" s="2" t="s">
        <v>231</v>
      </c>
      <c r="D436" s="2" t="s">
        <v>236</v>
      </c>
      <c r="E436" s="4"/>
    </row>
    <row r="437" spans="1:5" x14ac:dyDescent="0.25">
      <c r="A437">
        <v>70308</v>
      </c>
      <c r="B437" s="2" t="s">
        <v>374</v>
      </c>
      <c r="C437" s="2" t="s">
        <v>374</v>
      </c>
      <c r="D437" s="2" t="s">
        <v>412</v>
      </c>
      <c r="E437" s="4">
        <v>1</v>
      </c>
    </row>
    <row r="438" spans="1:5" x14ac:dyDescent="0.25">
      <c r="A438">
        <v>60301</v>
      </c>
      <c r="B438" s="2" t="s">
        <v>321</v>
      </c>
      <c r="C438" s="2" t="s">
        <v>336</v>
      </c>
      <c r="D438" s="2" t="s">
        <v>337</v>
      </c>
      <c r="E438" s="4">
        <v>1</v>
      </c>
    </row>
    <row r="439" spans="1:5" x14ac:dyDescent="0.25">
      <c r="A439">
        <v>90304</v>
      </c>
      <c r="B439" s="2" t="s">
        <v>508</v>
      </c>
      <c r="C439" s="2" t="s">
        <v>526</v>
      </c>
      <c r="D439" s="2" t="s">
        <v>530</v>
      </c>
      <c r="E439" s="4"/>
    </row>
    <row r="440" spans="1:5" x14ac:dyDescent="0.25">
      <c r="A440">
        <v>70401</v>
      </c>
      <c r="B440" s="2" t="s">
        <v>374</v>
      </c>
      <c r="C440" s="2" t="s">
        <v>418</v>
      </c>
      <c r="D440" s="2" t="s">
        <v>419</v>
      </c>
      <c r="E440" s="4">
        <v>3</v>
      </c>
    </row>
    <row r="441" spans="1:5" ht="24" x14ac:dyDescent="0.25">
      <c r="A441">
        <v>120804</v>
      </c>
      <c r="B441" s="2" t="s">
        <v>608</v>
      </c>
      <c r="C441" s="2" t="s">
        <v>720</v>
      </c>
      <c r="D441" s="2" t="s">
        <v>724</v>
      </c>
      <c r="E441" s="4"/>
    </row>
    <row r="442" spans="1:5" x14ac:dyDescent="0.25">
      <c r="A442">
        <v>90513</v>
      </c>
      <c r="B442" s="2" t="s">
        <v>508</v>
      </c>
      <c r="C442" s="2" t="s">
        <v>426</v>
      </c>
      <c r="D442" s="2" t="s">
        <v>705</v>
      </c>
      <c r="E442" s="4"/>
    </row>
    <row r="443" spans="1:5" ht="24" x14ac:dyDescent="0.25">
      <c r="A443">
        <v>110103</v>
      </c>
      <c r="B443" s="2" t="s">
        <v>601</v>
      </c>
      <c r="C443" s="2" t="s">
        <v>602</v>
      </c>
      <c r="D443" s="2" t="s">
        <v>605</v>
      </c>
      <c r="E443" s="4">
        <v>0</v>
      </c>
    </row>
    <row r="444" spans="1:5" ht="24" x14ac:dyDescent="0.25">
      <c r="A444">
        <v>120307</v>
      </c>
      <c r="B444" s="2" t="s">
        <v>608</v>
      </c>
      <c r="C444" s="2" t="s">
        <v>627</v>
      </c>
      <c r="D444" s="2" t="s">
        <v>634</v>
      </c>
      <c r="E444" s="4"/>
    </row>
    <row r="445" spans="1:5" x14ac:dyDescent="0.25">
      <c r="A445">
        <v>30405</v>
      </c>
      <c r="B445" s="2" t="s">
        <v>164</v>
      </c>
      <c r="C445" s="2" t="s">
        <v>192</v>
      </c>
      <c r="D445" s="2" t="s">
        <v>197</v>
      </c>
      <c r="E445" s="4">
        <v>1</v>
      </c>
    </row>
    <row r="446" spans="1:5" x14ac:dyDescent="0.25">
      <c r="A446">
        <v>70503</v>
      </c>
      <c r="B446" s="2" t="s">
        <v>374</v>
      </c>
      <c r="C446" s="2" t="s">
        <v>429</v>
      </c>
      <c r="D446" s="2" t="s">
        <v>432</v>
      </c>
      <c r="E446" s="4"/>
    </row>
    <row r="447" spans="1:5" x14ac:dyDescent="0.25">
      <c r="A447">
        <v>81004</v>
      </c>
      <c r="B447" s="2" t="s">
        <v>451</v>
      </c>
      <c r="C447" s="2" t="s">
        <v>494</v>
      </c>
      <c r="D447" s="2" t="s">
        <v>498</v>
      </c>
      <c r="E447" s="4">
        <v>44</v>
      </c>
    </row>
    <row r="448" spans="1:5" x14ac:dyDescent="0.25">
      <c r="A448">
        <v>60407</v>
      </c>
      <c r="B448" s="2" t="s">
        <v>321</v>
      </c>
      <c r="C448" s="2" t="s">
        <v>345</v>
      </c>
      <c r="D448" s="2" t="s">
        <v>351</v>
      </c>
      <c r="E448" s="4"/>
    </row>
    <row r="449" spans="1:5" x14ac:dyDescent="0.25">
      <c r="A449">
        <v>130714</v>
      </c>
      <c r="B449" s="2" t="s">
        <v>732</v>
      </c>
      <c r="C449" s="2" t="s">
        <v>763</v>
      </c>
      <c r="D449" s="2" t="s">
        <v>775</v>
      </c>
      <c r="E449" s="4">
        <v>4</v>
      </c>
    </row>
    <row r="450" spans="1:5" x14ac:dyDescent="0.25">
      <c r="A450">
        <v>130714</v>
      </c>
      <c r="B450" s="2" t="s">
        <v>732</v>
      </c>
      <c r="C450" s="2" t="s">
        <v>763</v>
      </c>
      <c r="D450" s="2" t="s">
        <v>775</v>
      </c>
      <c r="E450" s="4">
        <v>4</v>
      </c>
    </row>
    <row r="451" spans="1:5" x14ac:dyDescent="0.25">
      <c r="A451">
        <v>50208</v>
      </c>
      <c r="B451" s="2" t="s">
        <v>301</v>
      </c>
      <c r="C451" s="2" t="s">
        <v>312</v>
      </c>
      <c r="D451" s="2" t="s">
        <v>319</v>
      </c>
      <c r="E451" s="4">
        <v>85</v>
      </c>
    </row>
    <row r="452" spans="1:5" ht="24" x14ac:dyDescent="0.25">
      <c r="A452">
        <v>30301</v>
      </c>
      <c r="B452" s="2" t="s">
        <v>164</v>
      </c>
      <c r="C452" s="2" t="s">
        <v>187</v>
      </c>
      <c r="D452" s="2" t="s">
        <v>188</v>
      </c>
      <c r="E452" s="4"/>
    </row>
    <row r="453" spans="1:5" x14ac:dyDescent="0.25">
      <c r="A453">
        <v>10302</v>
      </c>
      <c r="B453" s="2" t="s">
        <v>92</v>
      </c>
      <c r="C453" s="2" t="s">
        <v>109</v>
      </c>
      <c r="D453" s="2" t="s">
        <v>111</v>
      </c>
      <c r="E453" s="4">
        <v>11</v>
      </c>
    </row>
    <row r="454" spans="1:5" x14ac:dyDescent="0.25">
      <c r="A454">
        <v>30503</v>
      </c>
      <c r="B454" s="2" t="s">
        <v>164</v>
      </c>
      <c r="C454" s="2" t="s">
        <v>198</v>
      </c>
      <c r="D454" s="2" t="s">
        <v>111</v>
      </c>
      <c r="E454" s="4"/>
    </row>
    <row r="455" spans="1:5" x14ac:dyDescent="0.25">
      <c r="A455">
        <v>70411</v>
      </c>
      <c r="B455" s="2" t="s">
        <v>374</v>
      </c>
      <c r="C455" s="2" t="s">
        <v>418</v>
      </c>
      <c r="D455" s="2" t="s">
        <v>428</v>
      </c>
      <c r="E455" s="4"/>
    </row>
    <row r="456" spans="1:5" x14ac:dyDescent="0.25">
      <c r="A456">
        <v>60103</v>
      </c>
      <c r="B456" s="2" t="s">
        <v>321</v>
      </c>
      <c r="C456" s="2" t="s">
        <v>322</v>
      </c>
      <c r="D456" s="2" t="s">
        <v>325</v>
      </c>
      <c r="E456" s="4">
        <v>1</v>
      </c>
    </row>
    <row r="457" spans="1:5" x14ac:dyDescent="0.25">
      <c r="A457">
        <v>90211</v>
      </c>
      <c r="B457" s="2" t="s">
        <v>508</v>
      </c>
      <c r="C457" s="2" t="s">
        <v>515</v>
      </c>
      <c r="D457" s="2" t="s">
        <v>525</v>
      </c>
      <c r="E457" s="4"/>
    </row>
    <row r="458" spans="1:5" x14ac:dyDescent="0.25">
      <c r="A458">
        <v>41004</v>
      </c>
      <c r="B458" s="2" t="s">
        <v>205</v>
      </c>
      <c r="C458" s="2" t="s">
        <v>275</v>
      </c>
      <c r="D458" s="2" t="s">
        <v>279</v>
      </c>
      <c r="E458" s="4"/>
    </row>
    <row r="459" spans="1:5" x14ac:dyDescent="0.25">
      <c r="A459">
        <v>90601</v>
      </c>
      <c r="B459" s="2" t="s">
        <v>508</v>
      </c>
      <c r="C459" s="2" t="s">
        <v>548</v>
      </c>
      <c r="D459" s="2" t="s">
        <v>549</v>
      </c>
      <c r="E459" s="4">
        <v>1</v>
      </c>
    </row>
    <row r="460" spans="1:5" ht="24" x14ac:dyDescent="0.25">
      <c r="A460">
        <v>120316</v>
      </c>
      <c r="B460" s="2" t="s">
        <v>608</v>
      </c>
      <c r="C460" s="2" t="s">
        <v>627</v>
      </c>
      <c r="D460" s="2" t="s">
        <v>715</v>
      </c>
      <c r="E460" s="4"/>
    </row>
    <row r="461" spans="1:5" ht="24" x14ac:dyDescent="0.25">
      <c r="A461">
        <v>120606</v>
      </c>
      <c r="B461" s="2" t="s">
        <v>608</v>
      </c>
      <c r="C461" s="2" t="s">
        <v>655</v>
      </c>
      <c r="D461" s="2" t="s">
        <v>658</v>
      </c>
      <c r="E461" s="4"/>
    </row>
    <row r="462" spans="1:5" ht="24" x14ac:dyDescent="0.25">
      <c r="A462">
        <v>120107</v>
      </c>
      <c r="B462" s="2" t="s">
        <v>608</v>
      </c>
      <c r="C462" s="2" t="s">
        <v>609</v>
      </c>
      <c r="D462" s="2" t="s">
        <v>616</v>
      </c>
      <c r="E462" s="4">
        <v>0</v>
      </c>
    </row>
    <row r="463" spans="1:5" x14ac:dyDescent="0.25">
      <c r="A463">
        <v>10404</v>
      </c>
      <c r="B463" s="2" t="s">
        <v>92</v>
      </c>
      <c r="C463" s="2" t="s">
        <v>98</v>
      </c>
      <c r="D463" s="2" t="s">
        <v>671</v>
      </c>
      <c r="E463" s="4"/>
    </row>
    <row r="464" spans="1:5" ht="24" x14ac:dyDescent="0.25">
      <c r="A464">
        <v>100101</v>
      </c>
      <c r="B464" s="2" t="s">
        <v>596</v>
      </c>
      <c r="C464" s="2" t="s">
        <v>596</v>
      </c>
      <c r="D464" s="2" t="s">
        <v>597</v>
      </c>
      <c r="E464" s="4">
        <v>110</v>
      </c>
    </row>
    <row r="465" spans="1:5" x14ac:dyDescent="0.25">
      <c r="A465">
        <v>20401</v>
      </c>
      <c r="B465" s="2" t="s">
        <v>116</v>
      </c>
      <c r="C465" s="2" t="s">
        <v>141</v>
      </c>
      <c r="D465" s="2" t="s">
        <v>142</v>
      </c>
      <c r="E465" s="4">
        <v>3</v>
      </c>
    </row>
    <row r="466" spans="1:5" ht="24" x14ac:dyDescent="0.25">
      <c r="A466">
        <v>120108</v>
      </c>
      <c r="B466" s="2" t="s">
        <v>608</v>
      </c>
      <c r="C466" s="2" t="s">
        <v>609</v>
      </c>
      <c r="D466" s="2" t="s">
        <v>617</v>
      </c>
      <c r="E466" s="4">
        <v>0</v>
      </c>
    </row>
    <row r="467" spans="1:5" ht="24" x14ac:dyDescent="0.25">
      <c r="A467">
        <v>120308</v>
      </c>
      <c r="B467" s="2" t="s">
        <v>608</v>
      </c>
      <c r="C467" s="2" t="s">
        <v>627</v>
      </c>
      <c r="D467" s="2" t="s">
        <v>635</v>
      </c>
      <c r="E467" s="4"/>
    </row>
    <row r="468" spans="1:5" x14ac:dyDescent="0.25">
      <c r="A468">
        <v>30504</v>
      </c>
      <c r="B468" s="2" t="s">
        <v>164</v>
      </c>
      <c r="C468" s="2" t="s">
        <v>198</v>
      </c>
      <c r="D468" s="2" t="s">
        <v>201</v>
      </c>
      <c r="E468" s="4"/>
    </row>
    <row r="469" spans="1:5" x14ac:dyDescent="0.25">
      <c r="A469">
        <v>70215</v>
      </c>
      <c r="B469" s="2" t="s">
        <v>374</v>
      </c>
      <c r="C469" s="2" t="s">
        <v>105</v>
      </c>
      <c r="D469" s="2" t="s">
        <v>399</v>
      </c>
      <c r="E469" s="4"/>
    </row>
    <row r="470" spans="1:5" x14ac:dyDescent="0.25">
      <c r="A470">
        <v>41404</v>
      </c>
      <c r="B470" s="2" t="s">
        <v>205</v>
      </c>
      <c r="C470" s="2" t="s">
        <v>689</v>
      </c>
      <c r="D470" s="2" t="s">
        <v>693</v>
      </c>
      <c r="E470" s="4">
        <v>1</v>
      </c>
    </row>
    <row r="471" spans="1:5" ht="24" x14ac:dyDescent="0.25">
      <c r="A471">
        <v>30602</v>
      </c>
      <c r="B471" s="2" t="s">
        <v>164</v>
      </c>
      <c r="C471" s="2" t="s">
        <v>681</v>
      </c>
      <c r="D471" s="2" t="s">
        <v>683</v>
      </c>
      <c r="E471" s="4">
        <v>155</v>
      </c>
    </row>
    <row r="472" spans="1:5" x14ac:dyDescent="0.25">
      <c r="A472">
        <v>130408</v>
      </c>
      <c r="B472" s="2" t="s">
        <v>732</v>
      </c>
      <c r="C472" s="2" t="s">
        <v>753</v>
      </c>
      <c r="D472" s="2" t="s">
        <v>759</v>
      </c>
      <c r="E472" s="4">
        <v>2</v>
      </c>
    </row>
    <row r="473" spans="1:5" x14ac:dyDescent="0.25">
      <c r="A473">
        <v>30109</v>
      </c>
      <c r="B473" s="2" t="s">
        <v>164</v>
      </c>
      <c r="C473" s="2" t="s">
        <v>164</v>
      </c>
      <c r="D473" s="2" t="s">
        <v>172</v>
      </c>
      <c r="E473" s="4">
        <v>4</v>
      </c>
    </row>
    <row r="474" spans="1:5" x14ac:dyDescent="0.25">
      <c r="A474">
        <v>30201</v>
      </c>
      <c r="B474" s="2" t="s">
        <v>164</v>
      </c>
      <c r="C474" s="2" t="s">
        <v>179</v>
      </c>
      <c r="D474" s="2" t="s">
        <v>180</v>
      </c>
      <c r="E474" s="4"/>
    </row>
    <row r="475" spans="1:5" x14ac:dyDescent="0.25">
      <c r="A475">
        <v>130103</v>
      </c>
      <c r="B475" s="2" t="s">
        <v>732</v>
      </c>
      <c r="C475" s="2" t="s">
        <v>733</v>
      </c>
      <c r="D475" s="2" t="s">
        <v>736</v>
      </c>
      <c r="E475" s="4">
        <v>30</v>
      </c>
    </row>
    <row r="476" spans="1:5" x14ac:dyDescent="0.25">
      <c r="A476">
        <v>130103</v>
      </c>
      <c r="B476" s="2" t="s">
        <v>732</v>
      </c>
      <c r="C476" s="2" t="s">
        <v>733</v>
      </c>
      <c r="D476" s="2" t="s">
        <v>736</v>
      </c>
      <c r="E476" s="4">
        <v>30</v>
      </c>
    </row>
    <row r="477" spans="1:5" x14ac:dyDescent="0.25">
      <c r="A477">
        <v>40109</v>
      </c>
      <c r="B477" s="2" t="s">
        <v>205</v>
      </c>
      <c r="C477" s="2" t="s">
        <v>206</v>
      </c>
      <c r="D477" s="2" t="s">
        <v>215</v>
      </c>
      <c r="E477" s="4">
        <v>57</v>
      </c>
    </row>
    <row r="478" spans="1:5" x14ac:dyDescent="0.25">
      <c r="A478">
        <v>91014</v>
      </c>
      <c r="B478" s="2" t="s">
        <v>508</v>
      </c>
      <c r="C478" s="2" t="s">
        <v>573</v>
      </c>
      <c r="D478" s="2" t="s">
        <v>707</v>
      </c>
      <c r="E478" s="4">
        <v>8</v>
      </c>
    </row>
    <row r="479" spans="1:5" x14ac:dyDescent="0.25">
      <c r="A479">
        <v>130715</v>
      </c>
      <c r="B479" s="2" t="s">
        <v>732</v>
      </c>
      <c r="C479" s="2" t="s">
        <v>763</v>
      </c>
      <c r="D479" s="2" t="s">
        <v>776</v>
      </c>
      <c r="E479" s="4">
        <v>4</v>
      </c>
    </row>
    <row r="480" spans="1:5" x14ac:dyDescent="0.25">
      <c r="A480">
        <v>60401</v>
      </c>
      <c r="B480" s="2" t="s">
        <v>321</v>
      </c>
      <c r="C480" s="2" t="s">
        <v>345</v>
      </c>
      <c r="D480" s="2" t="s">
        <v>346</v>
      </c>
      <c r="E480" s="4">
        <v>1</v>
      </c>
    </row>
    <row r="481" spans="1:5" x14ac:dyDescent="0.25">
      <c r="A481">
        <v>20501</v>
      </c>
      <c r="B481" s="2" t="s">
        <v>116</v>
      </c>
      <c r="C481" s="2" t="s">
        <v>148</v>
      </c>
      <c r="D481" s="2" t="s">
        <v>149</v>
      </c>
      <c r="E481" s="4">
        <v>2</v>
      </c>
    </row>
    <row r="482" spans="1:5" x14ac:dyDescent="0.25">
      <c r="A482">
        <v>81008</v>
      </c>
      <c r="B482" s="2" t="s">
        <v>451</v>
      </c>
      <c r="C482" s="2" t="s">
        <v>494</v>
      </c>
      <c r="D482" s="2" t="s">
        <v>502</v>
      </c>
      <c r="E482" s="4">
        <v>101</v>
      </c>
    </row>
    <row r="483" spans="1:5" x14ac:dyDescent="0.25">
      <c r="A483">
        <v>70505</v>
      </c>
      <c r="B483" s="2" t="s">
        <v>374</v>
      </c>
      <c r="C483" s="2" t="s">
        <v>429</v>
      </c>
      <c r="D483" s="2" t="s">
        <v>434</v>
      </c>
      <c r="E483" s="4"/>
    </row>
    <row r="484" spans="1:5" x14ac:dyDescent="0.25">
      <c r="A484">
        <v>81102</v>
      </c>
      <c r="B484" s="2" t="s">
        <v>451</v>
      </c>
      <c r="C484" s="2" t="s">
        <v>504</v>
      </c>
      <c r="D484" s="2" t="s">
        <v>506</v>
      </c>
      <c r="E484" s="4"/>
    </row>
    <row r="485" spans="1:5" x14ac:dyDescent="0.25">
      <c r="A485">
        <v>81103</v>
      </c>
      <c r="B485" s="2" t="s">
        <v>451</v>
      </c>
      <c r="C485" s="2" t="s">
        <v>504</v>
      </c>
      <c r="D485" s="2" t="s">
        <v>507</v>
      </c>
      <c r="E485" s="4"/>
    </row>
    <row r="486" spans="1:5" x14ac:dyDescent="0.25">
      <c r="A486">
        <v>80817</v>
      </c>
      <c r="B486" s="2" t="s">
        <v>451</v>
      </c>
      <c r="C486" s="2" t="s">
        <v>451</v>
      </c>
      <c r="D486" s="2" t="s">
        <v>486</v>
      </c>
      <c r="E486" s="4">
        <v>272</v>
      </c>
    </row>
    <row r="487" spans="1:5" x14ac:dyDescent="0.25">
      <c r="A487">
        <v>40804</v>
      </c>
      <c r="B487" s="2" t="s">
        <v>205</v>
      </c>
      <c r="C487" s="2" t="s">
        <v>264</v>
      </c>
      <c r="D487" s="2" t="s">
        <v>267</v>
      </c>
      <c r="E487" s="4"/>
    </row>
    <row r="488" spans="1:5" x14ac:dyDescent="0.25">
      <c r="A488">
        <v>20606</v>
      </c>
      <c r="B488" s="2" t="s">
        <v>116</v>
      </c>
      <c r="C488" s="2" t="s">
        <v>154</v>
      </c>
      <c r="D488" s="2" t="s">
        <v>159</v>
      </c>
      <c r="E488" s="4">
        <v>2</v>
      </c>
    </row>
    <row r="489" spans="1:5" x14ac:dyDescent="0.25">
      <c r="A489">
        <v>30501</v>
      </c>
      <c r="B489" s="2" t="s">
        <v>164</v>
      </c>
      <c r="C489" s="2" t="s">
        <v>198</v>
      </c>
      <c r="D489" s="2" t="s">
        <v>199</v>
      </c>
      <c r="E489" s="4"/>
    </row>
    <row r="490" spans="1:5" x14ac:dyDescent="0.25">
      <c r="A490">
        <v>30205</v>
      </c>
      <c r="B490" s="2" t="s">
        <v>164</v>
      </c>
      <c r="C490" s="2" t="s">
        <v>179</v>
      </c>
      <c r="D490" s="2" t="s">
        <v>184</v>
      </c>
      <c r="E490" s="4">
        <v>1</v>
      </c>
    </row>
    <row r="491" spans="1:5" x14ac:dyDescent="0.25">
      <c r="A491">
        <v>30505</v>
      </c>
      <c r="B491" s="2" t="s">
        <v>164</v>
      </c>
      <c r="C491" s="2" t="s">
        <v>198</v>
      </c>
      <c r="D491" s="2" t="s">
        <v>202</v>
      </c>
      <c r="E491" s="4"/>
    </row>
    <row r="492" spans="1:5" x14ac:dyDescent="0.25">
      <c r="A492">
        <v>40403</v>
      </c>
      <c r="B492" s="2" t="s">
        <v>205</v>
      </c>
      <c r="C492" s="2" t="s">
        <v>231</v>
      </c>
      <c r="D492" s="2" t="s">
        <v>202</v>
      </c>
      <c r="E492" s="4"/>
    </row>
    <row r="493" spans="1:5" x14ac:dyDescent="0.25">
      <c r="A493">
        <v>70216</v>
      </c>
      <c r="B493" s="2" t="s">
        <v>374</v>
      </c>
      <c r="C493" s="2" t="s">
        <v>105</v>
      </c>
      <c r="D493" s="2" t="s">
        <v>202</v>
      </c>
      <c r="E493" s="4"/>
    </row>
    <row r="494" spans="1:5" x14ac:dyDescent="0.25">
      <c r="A494">
        <v>40105</v>
      </c>
      <c r="B494" s="2" t="s">
        <v>205</v>
      </c>
      <c r="C494" s="2" t="s">
        <v>206</v>
      </c>
      <c r="D494" s="2" t="s">
        <v>211</v>
      </c>
      <c r="E494" s="4"/>
    </row>
    <row r="495" spans="1:5" x14ac:dyDescent="0.25">
      <c r="A495">
        <v>40306</v>
      </c>
      <c r="B495" s="2" t="s">
        <v>205</v>
      </c>
      <c r="C495" s="2" t="s">
        <v>222</v>
      </c>
      <c r="D495" s="2" t="s">
        <v>228</v>
      </c>
      <c r="E495" s="4"/>
    </row>
    <row r="496" spans="1:5" x14ac:dyDescent="0.25">
      <c r="A496">
        <v>70604</v>
      </c>
      <c r="B496" s="2" t="s">
        <v>374</v>
      </c>
      <c r="C496" s="2" t="s">
        <v>121</v>
      </c>
      <c r="D496" s="2" t="s">
        <v>228</v>
      </c>
      <c r="E496" s="4"/>
    </row>
    <row r="497" spans="1:5" x14ac:dyDescent="0.25">
      <c r="A497">
        <v>60505</v>
      </c>
      <c r="B497" s="2" t="s">
        <v>321</v>
      </c>
      <c r="C497" s="2" t="s">
        <v>352</v>
      </c>
      <c r="D497" s="2" t="s">
        <v>356</v>
      </c>
      <c r="E497" s="4">
        <v>1</v>
      </c>
    </row>
    <row r="498" spans="1:5" x14ac:dyDescent="0.25">
      <c r="A498">
        <v>60501</v>
      </c>
      <c r="B498" s="2" t="s">
        <v>321</v>
      </c>
      <c r="C498" s="2" t="s">
        <v>352</v>
      </c>
      <c r="D498" s="2" t="s">
        <v>353</v>
      </c>
      <c r="E498" s="4">
        <v>0</v>
      </c>
    </row>
    <row r="499" spans="1:5" x14ac:dyDescent="0.25">
      <c r="A499">
        <v>70605</v>
      </c>
      <c r="B499" s="2" t="s">
        <v>374</v>
      </c>
      <c r="C499" s="2" t="s">
        <v>121</v>
      </c>
      <c r="D499" s="2" t="s">
        <v>438</v>
      </c>
      <c r="E499" s="4"/>
    </row>
    <row r="500" spans="1:5" x14ac:dyDescent="0.25">
      <c r="A500">
        <v>80810</v>
      </c>
      <c r="B500" s="2" t="s">
        <v>451</v>
      </c>
      <c r="C500" s="2" t="s">
        <v>451</v>
      </c>
      <c r="D500" s="2" t="s">
        <v>480</v>
      </c>
      <c r="E500" s="4">
        <v>119</v>
      </c>
    </row>
    <row r="501" spans="1:5" x14ac:dyDescent="0.25">
      <c r="A501">
        <v>80604</v>
      </c>
      <c r="B501" s="2" t="s">
        <v>451</v>
      </c>
      <c r="C501" s="2" t="s">
        <v>467</v>
      </c>
      <c r="D501" s="2" t="s">
        <v>471</v>
      </c>
      <c r="E501" s="4"/>
    </row>
    <row r="502" spans="1:5" x14ac:dyDescent="0.25">
      <c r="A502">
        <v>41405</v>
      </c>
      <c r="B502" s="2" t="s">
        <v>205</v>
      </c>
      <c r="C502" s="2" t="s">
        <v>689</v>
      </c>
      <c r="D502" s="2" t="s">
        <v>694</v>
      </c>
      <c r="E502" s="4"/>
    </row>
    <row r="503" spans="1:5" x14ac:dyDescent="0.25">
      <c r="A503">
        <v>50203</v>
      </c>
      <c r="B503" s="2" t="s">
        <v>301</v>
      </c>
      <c r="C503" s="2" t="s">
        <v>312</v>
      </c>
      <c r="D503" s="2" t="s">
        <v>315</v>
      </c>
      <c r="E503" s="4"/>
    </row>
    <row r="504" spans="1:5" x14ac:dyDescent="0.25">
      <c r="A504">
        <v>70501</v>
      </c>
      <c r="B504" s="2" t="s">
        <v>374</v>
      </c>
      <c r="C504" s="2" t="s">
        <v>429</v>
      </c>
      <c r="D504" s="2" t="s">
        <v>430</v>
      </c>
      <c r="E504" s="4"/>
    </row>
    <row r="505" spans="1:5" x14ac:dyDescent="0.25">
      <c r="A505">
        <v>40307</v>
      </c>
      <c r="B505" s="2" t="s">
        <v>205</v>
      </c>
      <c r="C505" s="2" t="s">
        <v>222</v>
      </c>
      <c r="D505" s="2" t="s">
        <v>229</v>
      </c>
      <c r="E505" s="4"/>
    </row>
    <row r="506" spans="1:5" x14ac:dyDescent="0.25">
      <c r="A506">
        <v>40607</v>
      </c>
      <c r="B506" s="2" t="s">
        <v>205</v>
      </c>
      <c r="C506" s="2" t="s">
        <v>247</v>
      </c>
      <c r="D506" s="2" t="s">
        <v>229</v>
      </c>
      <c r="E506" s="4">
        <v>4</v>
      </c>
    </row>
    <row r="507" spans="1:5" x14ac:dyDescent="0.25">
      <c r="A507">
        <v>80813</v>
      </c>
      <c r="B507" s="2" t="s">
        <v>451</v>
      </c>
      <c r="C507" s="2" t="s">
        <v>451</v>
      </c>
      <c r="D507" s="2" t="s">
        <v>229</v>
      </c>
      <c r="E507" s="4"/>
    </row>
    <row r="508" spans="1:5" x14ac:dyDescent="0.25">
      <c r="A508">
        <v>80205</v>
      </c>
      <c r="B508" s="2" t="s">
        <v>451</v>
      </c>
      <c r="C508" s="2" t="s">
        <v>452</v>
      </c>
      <c r="D508" s="2" t="s">
        <v>457</v>
      </c>
      <c r="E508" s="4"/>
    </row>
    <row r="509" spans="1:5" x14ac:dyDescent="0.25">
      <c r="A509">
        <v>70217</v>
      </c>
      <c r="B509" s="2" t="s">
        <v>374</v>
      </c>
      <c r="C509" s="2" t="s">
        <v>105</v>
      </c>
      <c r="D509" s="2" t="s">
        <v>400</v>
      </c>
      <c r="E509" s="4"/>
    </row>
    <row r="510" spans="1:5" ht="24" x14ac:dyDescent="0.25">
      <c r="A510">
        <v>120309</v>
      </c>
      <c r="B510" s="2" t="s">
        <v>608</v>
      </c>
      <c r="C510" s="2" t="s">
        <v>627</v>
      </c>
      <c r="D510" s="2" t="s">
        <v>400</v>
      </c>
      <c r="E510" s="4"/>
    </row>
    <row r="511" spans="1:5" x14ac:dyDescent="0.25">
      <c r="A511">
        <v>60405</v>
      </c>
      <c r="B511" s="2" t="s">
        <v>321</v>
      </c>
      <c r="C511" s="2" t="s">
        <v>345</v>
      </c>
      <c r="D511" s="2" t="s">
        <v>349</v>
      </c>
      <c r="E511" s="4"/>
    </row>
    <row r="512" spans="1:5" x14ac:dyDescent="0.25">
      <c r="A512">
        <v>20601</v>
      </c>
      <c r="B512" s="2" t="s">
        <v>116</v>
      </c>
      <c r="C512" s="2" t="s">
        <v>154</v>
      </c>
      <c r="D512" s="2" t="s">
        <v>155</v>
      </c>
      <c r="E512" s="4">
        <v>15</v>
      </c>
    </row>
    <row r="513" spans="1:5" x14ac:dyDescent="0.25">
      <c r="A513">
        <v>70110</v>
      </c>
      <c r="B513" s="2" t="s">
        <v>374</v>
      </c>
      <c r="C513" s="2" t="s">
        <v>375</v>
      </c>
      <c r="D513" s="2" t="s">
        <v>385</v>
      </c>
      <c r="E513" s="4"/>
    </row>
    <row r="514" spans="1:5" x14ac:dyDescent="0.25">
      <c r="A514">
        <v>60601</v>
      </c>
      <c r="B514" s="2" t="s">
        <v>321</v>
      </c>
      <c r="C514" s="2" t="s">
        <v>359</v>
      </c>
      <c r="D514" s="2" t="s">
        <v>360</v>
      </c>
      <c r="E514" s="4">
        <v>2</v>
      </c>
    </row>
    <row r="515" spans="1:5" ht="24" x14ac:dyDescent="0.25">
      <c r="A515">
        <v>120607</v>
      </c>
      <c r="B515" s="2" t="s">
        <v>608</v>
      </c>
      <c r="C515" s="2" t="s">
        <v>655</v>
      </c>
      <c r="D515" s="2" t="s">
        <v>659</v>
      </c>
      <c r="E515" s="4"/>
    </row>
    <row r="516" spans="1:5" x14ac:dyDescent="0.25">
      <c r="A516">
        <v>20305</v>
      </c>
      <c r="B516" s="2" t="s">
        <v>116</v>
      </c>
      <c r="C516" s="2" t="s">
        <v>134</v>
      </c>
      <c r="D516" s="2" t="s">
        <v>139</v>
      </c>
      <c r="E516" s="4"/>
    </row>
    <row r="517" spans="1:5" x14ac:dyDescent="0.25">
      <c r="A517">
        <v>90605</v>
      </c>
      <c r="B517" s="2" t="s">
        <v>508</v>
      </c>
      <c r="C517" s="2" t="s">
        <v>548</v>
      </c>
      <c r="D517" s="2" t="s">
        <v>552</v>
      </c>
      <c r="E517" s="4">
        <v>0</v>
      </c>
    </row>
    <row r="518" spans="1:5" x14ac:dyDescent="0.25">
      <c r="A518">
        <v>30206</v>
      </c>
      <c r="B518" s="2" t="s">
        <v>164</v>
      </c>
      <c r="C518" s="2" t="s">
        <v>179</v>
      </c>
      <c r="D518" s="2" t="s">
        <v>185</v>
      </c>
      <c r="E518" s="4"/>
    </row>
    <row r="519" spans="1:5" x14ac:dyDescent="0.25">
      <c r="A519">
        <v>50204</v>
      </c>
      <c r="B519" s="2" t="s">
        <v>301</v>
      </c>
      <c r="C519" s="2" t="s">
        <v>312</v>
      </c>
      <c r="D519" s="2" t="s">
        <v>312</v>
      </c>
      <c r="E519" s="4">
        <v>0</v>
      </c>
    </row>
    <row r="520" spans="1:5" x14ac:dyDescent="0.25">
      <c r="A520">
        <v>90508</v>
      </c>
      <c r="B520" s="2" t="s">
        <v>508</v>
      </c>
      <c r="C520" s="2" t="s">
        <v>426</v>
      </c>
      <c r="D520" s="2" t="s">
        <v>543</v>
      </c>
      <c r="E520" s="4"/>
    </row>
    <row r="521" spans="1:5" x14ac:dyDescent="0.25">
      <c r="A521">
        <v>30506</v>
      </c>
      <c r="B521" s="2" t="s">
        <v>164</v>
      </c>
      <c r="C521" s="2" t="s">
        <v>198</v>
      </c>
      <c r="D521" s="2" t="s">
        <v>203</v>
      </c>
      <c r="E521" s="4"/>
    </row>
    <row r="522" spans="1:5" x14ac:dyDescent="0.25">
      <c r="A522">
        <v>130716</v>
      </c>
      <c r="B522" s="2" t="s">
        <v>732</v>
      </c>
      <c r="C522" s="2" t="s">
        <v>763</v>
      </c>
      <c r="D522" s="2" t="s">
        <v>777</v>
      </c>
      <c r="E522" s="4">
        <v>60</v>
      </c>
    </row>
    <row r="523" spans="1:5" x14ac:dyDescent="0.25">
      <c r="A523">
        <v>41005</v>
      </c>
      <c r="B523" s="2" t="s">
        <v>205</v>
      </c>
      <c r="C523" s="2" t="s">
        <v>275</v>
      </c>
      <c r="D523" s="2" t="s">
        <v>280</v>
      </c>
      <c r="E523" s="4">
        <v>1</v>
      </c>
    </row>
    <row r="524" spans="1:5" x14ac:dyDescent="0.25">
      <c r="A524">
        <v>20104</v>
      </c>
      <c r="B524" s="2" t="s">
        <v>116</v>
      </c>
      <c r="C524" s="2" t="s">
        <v>117</v>
      </c>
      <c r="D524" s="2" t="s">
        <v>121</v>
      </c>
      <c r="E524" s="4">
        <v>6</v>
      </c>
    </row>
    <row r="525" spans="1:5" x14ac:dyDescent="0.25">
      <c r="A525">
        <v>70601</v>
      </c>
      <c r="B525" s="2" t="s">
        <v>374</v>
      </c>
      <c r="C525" s="2" t="s">
        <v>121</v>
      </c>
      <c r="D525" s="2" t="s">
        <v>435</v>
      </c>
      <c r="E525" s="4"/>
    </row>
    <row r="526" spans="1:5" x14ac:dyDescent="0.25">
      <c r="A526">
        <v>91005</v>
      </c>
      <c r="B526" s="2" t="s">
        <v>508</v>
      </c>
      <c r="C526" s="2" t="s">
        <v>573</v>
      </c>
      <c r="D526" s="2" t="s">
        <v>577</v>
      </c>
      <c r="E526" s="4">
        <v>5</v>
      </c>
    </row>
    <row r="527" spans="1:5" x14ac:dyDescent="0.25">
      <c r="A527">
        <v>60506</v>
      </c>
      <c r="B527" s="2" t="s">
        <v>321</v>
      </c>
      <c r="C527" s="2" t="s">
        <v>352</v>
      </c>
      <c r="D527" s="2" t="s">
        <v>357</v>
      </c>
      <c r="E527" s="4"/>
    </row>
    <row r="528" spans="1:5" x14ac:dyDescent="0.25">
      <c r="A528">
        <v>30401</v>
      </c>
      <c r="B528" s="2" t="s">
        <v>164</v>
      </c>
      <c r="C528" s="2" t="s">
        <v>192</v>
      </c>
      <c r="D528" s="2" t="s">
        <v>193</v>
      </c>
      <c r="E528" s="4">
        <v>0</v>
      </c>
    </row>
    <row r="529" spans="1:5" x14ac:dyDescent="0.25">
      <c r="A529">
        <v>40704</v>
      </c>
      <c r="B529" s="2" t="s">
        <v>205</v>
      </c>
      <c r="C529" s="2" t="s">
        <v>255</v>
      </c>
      <c r="D529" s="2" t="s">
        <v>259</v>
      </c>
      <c r="E529" s="4"/>
    </row>
    <row r="530" spans="1:5" x14ac:dyDescent="0.25">
      <c r="A530">
        <v>40705</v>
      </c>
      <c r="B530" s="2" t="s">
        <v>205</v>
      </c>
      <c r="C530" s="2" t="s">
        <v>255</v>
      </c>
      <c r="D530" s="2" t="s">
        <v>260</v>
      </c>
      <c r="E530" s="4"/>
    </row>
    <row r="531" spans="1:5" x14ac:dyDescent="0.25">
      <c r="A531">
        <v>41307</v>
      </c>
      <c r="B531" s="2" t="s">
        <v>205</v>
      </c>
      <c r="C531" s="2" t="s">
        <v>292</v>
      </c>
      <c r="D531" s="2" t="s">
        <v>298</v>
      </c>
      <c r="E531" s="4"/>
    </row>
    <row r="532" spans="1:5" x14ac:dyDescent="0.25">
      <c r="A532">
        <v>60507</v>
      </c>
      <c r="B532" s="2" t="s">
        <v>321</v>
      </c>
      <c r="C532" s="2" t="s">
        <v>352</v>
      </c>
      <c r="D532" s="2" t="s">
        <v>358</v>
      </c>
      <c r="E532" s="4">
        <v>0</v>
      </c>
    </row>
    <row r="533" spans="1:5" x14ac:dyDescent="0.25">
      <c r="A533">
        <v>40203</v>
      </c>
      <c r="B533" s="2" t="s">
        <v>205</v>
      </c>
      <c r="C533" s="2" t="s">
        <v>216</v>
      </c>
      <c r="D533" s="2" t="s">
        <v>219</v>
      </c>
      <c r="E533" s="4">
        <v>0</v>
      </c>
    </row>
    <row r="534" spans="1:5" x14ac:dyDescent="0.25">
      <c r="A534">
        <v>50205</v>
      </c>
      <c r="B534" s="2" t="s">
        <v>301</v>
      </c>
      <c r="C534" s="2" t="s">
        <v>312</v>
      </c>
      <c r="D534" s="2" t="s">
        <v>316</v>
      </c>
      <c r="E534" s="4"/>
    </row>
    <row r="535" spans="1:5" x14ac:dyDescent="0.25">
      <c r="A535">
        <v>80808</v>
      </c>
      <c r="B535" s="2" t="s">
        <v>451</v>
      </c>
      <c r="C535" s="2" t="s">
        <v>451</v>
      </c>
      <c r="D535" s="2" t="s">
        <v>478</v>
      </c>
      <c r="E535" s="4">
        <v>66</v>
      </c>
    </row>
    <row r="536" spans="1:5" x14ac:dyDescent="0.25">
      <c r="A536">
        <v>20106</v>
      </c>
      <c r="B536" s="2" t="s">
        <v>116</v>
      </c>
      <c r="C536" s="2" t="s">
        <v>117</v>
      </c>
      <c r="D536" s="2" t="s">
        <v>675</v>
      </c>
      <c r="E536" s="4"/>
    </row>
    <row r="537" spans="1:5" ht="24" x14ac:dyDescent="0.25">
      <c r="A537">
        <v>40201</v>
      </c>
      <c r="B537" s="2" t="s">
        <v>205</v>
      </c>
      <c r="C537" s="2" t="s">
        <v>216</v>
      </c>
      <c r="D537" s="2" t="s">
        <v>217</v>
      </c>
      <c r="E537" s="4">
        <v>3</v>
      </c>
    </row>
    <row r="538" spans="1:5" x14ac:dyDescent="0.25">
      <c r="A538">
        <v>130717</v>
      </c>
      <c r="B538" s="2" t="s">
        <v>732</v>
      </c>
      <c r="C538" s="2" t="s">
        <v>763</v>
      </c>
      <c r="D538" s="2" t="s">
        <v>778</v>
      </c>
      <c r="E538" s="4">
        <v>112</v>
      </c>
    </row>
    <row r="539" spans="1:5" x14ac:dyDescent="0.25">
      <c r="A539">
        <v>30403</v>
      </c>
      <c r="B539" s="2" t="s">
        <v>164</v>
      </c>
      <c r="C539" s="2" t="s">
        <v>192</v>
      </c>
      <c r="D539" s="2" t="s">
        <v>195</v>
      </c>
      <c r="E539" s="4"/>
    </row>
    <row r="540" spans="1:5" ht="24" x14ac:dyDescent="0.25">
      <c r="A540">
        <v>100103</v>
      </c>
      <c r="B540" s="2" t="s">
        <v>596</v>
      </c>
      <c r="C540" s="2" t="s">
        <v>596</v>
      </c>
      <c r="D540" s="2" t="s">
        <v>599</v>
      </c>
      <c r="E540" s="4">
        <v>0</v>
      </c>
    </row>
    <row r="541" spans="1:5" x14ac:dyDescent="0.25">
      <c r="A541">
        <v>30110</v>
      </c>
      <c r="B541" s="2" t="s">
        <v>164</v>
      </c>
      <c r="C541" s="2" t="s">
        <v>164</v>
      </c>
      <c r="D541" s="2" t="s">
        <v>173</v>
      </c>
      <c r="E541" s="4">
        <v>12</v>
      </c>
    </row>
    <row r="542" spans="1:5" x14ac:dyDescent="0.25">
      <c r="A542">
        <v>50106</v>
      </c>
      <c r="B542" s="2" t="s">
        <v>301</v>
      </c>
      <c r="C542" s="2" t="s">
        <v>302</v>
      </c>
      <c r="D542" s="2" t="s">
        <v>306</v>
      </c>
      <c r="E542" s="4"/>
    </row>
    <row r="543" spans="1:5" x14ac:dyDescent="0.25">
      <c r="A543">
        <v>90509</v>
      </c>
      <c r="B543" s="2" t="s">
        <v>508</v>
      </c>
      <c r="C543" s="2" t="s">
        <v>426</v>
      </c>
      <c r="D543" s="2" t="s">
        <v>544</v>
      </c>
      <c r="E543" s="4"/>
    </row>
    <row r="544" spans="1:5" x14ac:dyDescent="0.25">
      <c r="A544">
        <v>130409</v>
      </c>
      <c r="B544" s="2" t="s">
        <v>732</v>
      </c>
      <c r="C544" s="2" t="s">
        <v>753</v>
      </c>
      <c r="D544" s="2" t="s">
        <v>760</v>
      </c>
      <c r="E544" s="4">
        <v>1</v>
      </c>
    </row>
    <row r="545" spans="1:5" x14ac:dyDescent="0.25">
      <c r="A545">
        <v>10104</v>
      </c>
      <c r="B545" s="2" t="s">
        <v>92</v>
      </c>
      <c r="C545" s="2" t="s">
        <v>92</v>
      </c>
      <c r="D545" s="2" t="s">
        <v>96</v>
      </c>
      <c r="E545" s="4"/>
    </row>
    <row r="546" spans="1:5" x14ac:dyDescent="0.25">
      <c r="A546">
        <v>10303</v>
      </c>
      <c r="B546" s="2" t="s">
        <v>92</v>
      </c>
      <c r="C546" s="2" t="s">
        <v>109</v>
      </c>
      <c r="D546" s="2" t="s">
        <v>112</v>
      </c>
      <c r="E546" s="4">
        <v>0</v>
      </c>
    </row>
    <row r="547" spans="1:5" x14ac:dyDescent="0.25">
      <c r="A547">
        <v>10304</v>
      </c>
      <c r="B547" s="2" t="s">
        <v>92</v>
      </c>
      <c r="C547" s="2" t="s">
        <v>109</v>
      </c>
      <c r="D547" s="2" t="s">
        <v>113</v>
      </c>
      <c r="E547" s="4"/>
    </row>
    <row r="548" spans="1:5" x14ac:dyDescent="0.25">
      <c r="A548">
        <v>70504</v>
      </c>
      <c r="B548" s="2" t="s">
        <v>374</v>
      </c>
      <c r="C548" s="2" t="s">
        <v>429</v>
      </c>
      <c r="D548" s="2" t="s">
        <v>433</v>
      </c>
      <c r="E548" s="4"/>
    </row>
    <row r="549" spans="1:5" ht="24" x14ac:dyDescent="0.25">
      <c r="A549">
        <v>120207</v>
      </c>
      <c r="B549" s="2" t="s">
        <v>608</v>
      </c>
      <c r="C549" s="2" t="s">
        <v>618</v>
      </c>
      <c r="D549" s="2" t="s">
        <v>625</v>
      </c>
      <c r="E549" s="4"/>
    </row>
    <row r="550" spans="1:5" x14ac:dyDescent="0.25">
      <c r="A550">
        <v>91108</v>
      </c>
      <c r="B550" s="2" t="s">
        <v>508</v>
      </c>
      <c r="C550" s="2" t="s">
        <v>583</v>
      </c>
      <c r="D550" s="2" t="s">
        <v>589</v>
      </c>
      <c r="E550" s="4"/>
    </row>
    <row r="551" spans="1:5" x14ac:dyDescent="0.25">
      <c r="A551">
        <v>41308</v>
      </c>
      <c r="B551" s="2" t="s">
        <v>205</v>
      </c>
      <c r="C551" s="2" t="s">
        <v>292</v>
      </c>
      <c r="D551" s="2" t="s">
        <v>299</v>
      </c>
      <c r="E551" s="4"/>
    </row>
    <row r="552" spans="1:5" x14ac:dyDescent="0.25">
      <c r="A552">
        <v>60206</v>
      </c>
      <c r="B552" s="2" t="s">
        <v>321</v>
      </c>
      <c r="C552" s="2" t="s">
        <v>328</v>
      </c>
      <c r="D552" s="2" t="s">
        <v>334</v>
      </c>
      <c r="E552" s="4"/>
    </row>
    <row r="553" spans="1:5" x14ac:dyDescent="0.25">
      <c r="A553">
        <v>60207</v>
      </c>
      <c r="B553" s="2" t="s">
        <v>321</v>
      </c>
      <c r="C553" s="2" t="s">
        <v>328</v>
      </c>
      <c r="D553" s="2" t="s">
        <v>335</v>
      </c>
      <c r="E553" s="4"/>
    </row>
    <row r="554" spans="1:5" x14ac:dyDescent="0.25">
      <c r="A554">
        <v>91204</v>
      </c>
      <c r="B554" s="2" t="s">
        <v>508</v>
      </c>
      <c r="C554" s="2" t="s">
        <v>591</v>
      </c>
      <c r="D554" s="2" t="s">
        <v>594</v>
      </c>
      <c r="E554" s="4"/>
    </row>
    <row r="555" spans="1:5" x14ac:dyDescent="0.25">
      <c r="A555">
        <v>40106</v>
      </c>
      <c r="B555" s="2" t="s">
        <v>205</v>
      </c>
      <c r="C555" s="2" t="s">
        <v>206</v>
      </c>
      <c r="D555" s="2" t="s">
        <v>212</v>
      </c>
      <c r="E555" s="4"/>
    </row>
    <row r="556" spans="1:5" x14ac:dyDescent="0.25">
      <c r="A556">
        <v>10305</v>
      </c>
      <c r="B556" s="2" t="s">
        <v>92</v>
      </c>
      <c r="C556" s="2" t="s">
        <v>109</v>
      </c>
      <c r="D556" s="2" t="s">
        <v>114</v>
      </c>
      <c r="E556" s="4">
        <v>0</v>
      </c>
    </row>
    <row r="557" spans="1:5" x14ac:dyDescent="0.25">
      <c r="A557">
        <v>90804</v>
      </c>
      <c r="B557" s="2" t="s">
        <v>508</v>
      </c>
      <c r="C557" s="2" t="s">
        <v>479</v>
      </c>
      <c r="D557" s="2" t="s">
        <v>563</v>
      </c>
      <c r="E557" s="4"/>
    </row>
    <row r="558" spans="1:5" x14ac:dyDescent="0.25">
      <c r="A558">
        <v>40901</v>
      </c>
      <c r="B558" s="2" t="s">
        <v>205</v>
      </c>
      <c r="C558" s="2" t="s">
        <v>269</v>
      </c>
      <c r="D558" s="2" t="s">
        <v>270</v>
      </c>
      <c r="E558" s="4">
        <v>2</v>
      </c>
    </row>
    <row r="559" spans="1:5" x14ac:dyDescent="0.25">
      <c r="A559">
        <v>40805</v>
      </c>
      <c r="B559" s="2" t="s">
        <v>205</v>
      </c>
      <c r="C559" s="2" t="s">
        <v>264</v>
      </c>
      <c r="D559" s="2" t="s">
        <v>268</v>
      </c>
      <c r="E559" s="4"/>
    </row>
    <row r="560" spans="1:5" x14ac:dyDescent="0.25">
      <c r="A560">
        <v>60608</v>
      </c>
      <c r="B560" s="2" t="s">
        <v>321</v>
      </c>
      <c r="C560" s="2" t="s">
        <v>359</v>
      </c>
      <c r="D560" s="2" t="s">
        <v>367</v>
      </c>
      <c r="E560" s="4"/>
    </row>
    <row r="561" spans="1:5" x14ac:dyDescent="0.25">
      <c r="A561">
        <v>80811</v>
      </c>
      <c r="B561" s="2" t="s">
        <v>451</v>
      </c>
      <c r="C561" s="2" t="s">
        <v>451</v>
      </c>
      <c r="D561" s="2" t="s">
        <v>481</v>
      </c>
      <c r="E561" s="4">
        <v>140</v>
      </c>
    </row>
    <row r="562" spans="1:5" ht="24" x14ac:dyDescent="0.25">
      <c r="A562">
        <v>120705</v>
      </c>
      <c r="B562" s="2" t="s">
        <v>608</v>
      </c>
      <c r="C562" s="2" t="s">
        <v>660</v>
      </c>
      <c r="D562" s="2" t="s">
        <v>662</v>
      </c>
      <c r="E562" s="4"/>
    </row>
    <row r="563" spans="1:5" x14ac:dyDescent="0.25">
      <c r="A563">
        <v>50307</v>
      </c>
      <c r="B563" s="2" t="s">
        <v>301</v>
      </c>
      <c r="C563" s="2" t="s">
        <v>564</v>
      </c>
      <c r="D563" s="2" t="s">
        <v>695</v>
      </c>
      <c r="E563" s="4"/>
    </row>
    <row r="564" spans="1:5" x14ac:dyDescent="0.25">
      <c r="A564">
        <v>50307</v>
      </c>
      <c r="B564" s="2" t="s">
        <v>301</v>
      </c>
      <c r="C564" s="2" t="s">
        <v>564</v>
      </c>
      <c r="D564" s="2" t="s">
        <v>695</v>
      </c>
      <c r="E564" s="4"/>
    </row>
    <row r="565" spans="1:5" x14ac:dyDescent="0.25">
      <c r="A565">
        <v>50315</v>
      </c>
      <c r="B565" s="2" t="s">
        <v>301</v>
      </c>
      <c r="C565" s="2" t="s">
        <v>564</v>
      </c>
      <c r="D565" s="2" t="s">
        <v>698</v>
      </c>
      <c r="E565" s="4"/>
    </row>
    <row r="566" spans="1:5" x14ac:dyDescent="0.25">
      <c r="A566">
        <v>90701</v>
      </c>
      <c r="B566" s="2" t="s">
        <v>508</v>
      </c>
      <c r="C566" s="2" t="s">
        <v>556</v>
      </c>
      <c r="D566" s="2" t="s">
        <v>557</v>
      </c>
      <c r="E566" s="4">
        <v>1</v>
      </c>
    </row>
    <row r="567" spans="1:5" x14ac:dyDescent="0.25">
      <c r="A567">
        <v>20607</v>
      </c>
      <c r="B567" s="2" t="s">
        <v>116</v>
      </c>
      <c r="C567" s="2" t="s">
        <v>154</v>
      </c>
      <c r="D567" s="2" t="s">
        <v>160</v>
      </c>
      <c r="E567" s="4"/>
    </row>
    <row r="568" spans="1:5" x14ac:dyDescent="0.25">
      <c r="A568">
        <v>91109</v>
      </c>
      <c r="B568" s="2" t="s">
        <v>508</v>
      </c>
      <c r="C568" s="2" t="s">
        <v>583</v>
      </c>
      <c r="D568" s="2" t="s">
        <v>160</v>
      </c>
      <c r="E568" s="4">
        <v>0</v>
      </c>
    </row>
    <row r="569" spans="1:5" x14ac:dyDescent="0.25">
      <c r="A569">
        <v>20207</v>
      </c>
      <c r="B569" s="2" t="s">
        <v>116</v>
      </c>
      <c r="C569" s="2" t="s">
        <v>123</v>
      </c>
      <c r="D569" s="2" t="s">
        <v>130</v>
      </c>
      <c r="E569" s="4">
        <v>15</v>
      </c>
    </row>
    <row r="570" spans="1:5" x14ac:dyDescent="0.25">
      <c r="A570">
        <v>70218</v>
      </c>
      <c r="B570" s="2" t="s">
        <v>374</v>
      </c>
      <c r="C570" s="2" t="s">
        <v>105</v>
      </c>
      <c r="D570" s="2" t="s">
        <v>401</v>
      </c>
      <c r="E570" s="4"/>
    </row>
    <row r="571" spans="1:5" x14ac:dyDescent="0.25">
      <c r="A571">
        <v>50308</v>
      </c>
      <c r="B571" s="2" t="s">
        <v>301</v>
      </c>
      <c r="C571" s="2" t="s">
        <v>564</v>
      </c>
      <c r="D571" s="2" t="s">
        <v>700</v>
      </c>
      <c r="E571" s="4"/>
    </row>
    <row r="572" spans="1:5" x14ac:dyDescent="0.25">
      <c r="A572">
        <v>50308</v>
      </c>
      <c r="B572" s="2" t="s">
        <v>301</v>
      </c>
      <c r="C572" s="2" t="s">
        <v>564</v>
      </c>
      <c r="D572" s="2" t="s">
        <v>700</v>
      </c>
      <c r="E572" s="4"/>
    </row>
    <row r="573" spans="1:5" x14ac:dyDescent="0.25">
      <c r="A573">
        <v>20608</v>
      </c>
      <c r="B573" s="2" t="s">
        <v>116</v>
      </c>
      <c r="C573" s="2" t="s">
        <v>154</v>
      </c>
      <c r="D573" s="2" t="s">
        <v>161</v>
      </c>
      <c r="E573" s="4"/>
    </row>
    <row r="574" spans="1:5" x14ac:dyDescent="0.25">
      <c r="A574">
        <v>30305</v>
      </c>
      <c r="B574" s="2" t="s">
        <v>164</v>
      </c>
      <c r="C574" s="2" t="s">
        <v>187</v>
      </c>
      <c r="D574" s="2" t="s">
        <v>161</v>
      </c>
      <c r="E574" s="4">
        <v>0</v>
      </c>
    </row>
    <row r="575" spans="1:5" x14ac:dyDescent="0.25">
      <c r="A575">
        <v>90907</v>
      </c>
      <c r="B575" s="2" t="s">
        <v>508</v>
      </c>
      <c r="C575" s="2" t="s">
        <v>564</v>
      </c>
      <c r="D575" s="2" t="s">
        <v>571</v>
      </c>
      <c r="E575" s="4"/>
    </row>
    <row r="576" spans="1:5" ht="24" x14ac:dyDescent="0.25">
      <c r="A576">
        <v>110201</v>
      </c>
      <c r="B576" s="2" t="s">
        <v>601</v>
      </c>
      <c r="C576" s="2" t="s">
        <v>307</v>
      </c>
      <c r="D576" s="2" t="s">
        <v>606</v>
      </c>
      <c r="E576" s="4">
        <v>0</v>
      </c>
    </row>
    <row r="577" spans="1:5" x14ac:dyDescent="0.25">
      <c r="A577">
        <v>41001</v>
      </c>
      <c r="B577" s="2" t="s">
        <v>205</v>
      </c>
      <c r="C577" s="2" t="s">
        <v>275</v>
      </c>
      <c r="D577" s="2" t="s">
        <v>276</v>
      </c>
      <c r="E577" s="4">
        <v>0</v>
      </c>
    </row>
    <row r="578" spans="1:5" x14ac:dyDescent="0.25">
      <c r="A578">
        <v>91110</v>
      </c>
      <c r="B578" s="2" t="s">
        <v>508</v>
      </c>
      <c r="C578" s="2" t="s">
        <v>583</v>
      </c>
      <c r="D578" s="2" t="s">
        <v>590</v>
      </c>
      <c r="E578" s="4">
        <v>0</v>
      </c>
    </row>
    <row r="579" spans="1:5" x14ac:dyDescent="0.25">
      <c r="A579">
        <v>40205</v>
      </c>
      <c r="B579" s="2" t="s">
        <v>205</v>
      </c>
      <c r="C579" s="2" t="s">
        <v>216</v>
      </c>
      <c r="D579" s="2" t="s">
        <v>221</v>
      </c>
      <c r="E579" s="4">
        <v>1</v>
      </c>
    </row>
    <row r="580" spans="1:5" x14ac:dyDescent="0.25">
      <c r="A580">
        <v>91013</v>
      </c>
      <c r="B580" s="2" t="s">
        <v>508</v>
      </c>
      <c r="C580" s="2" t="s">
        <v>573</v>
      </c>
      <c r="D580" s="2" t="s">
        <v>706</v>
      </c>
      <c r="E580" s="4">
        <v>50</v>
      </c>
    </row>
    <row r="581" spans="1:5" ht="24" x14ac:dyDescent="0.25">
      <c r="A581">
        <v>120310</v>
      </c>
      <c r="B581" s="2" t="s">
        <v>608</v>
      </c>
      <c r="C581" s="2" t="s">
        <v>627</v>
      </c>
      <c r="D581" s="2" t="s">
        <v>636</v>
      </c>
      <c r="E581" s="4"/>
    </row>
    <row r="582" spans="1:5" x14ac:dyDescent="0.25">
      <c r="A582">
        <v>40706</v>
      </c>
      <c r="B582" s="2" t="s">
        <v>205</v>
      </c>
      <c r="C582" s="2" t="s">
        <v>255</v>
      </c>
      <c r="D582" s="2" t="s">
        <v>261</v>
      </c>
      <c r="E582" s="4"/>
    </row>
    <row r="583" spans="1:5" x14ac:dyDescent="0.25">
      <c r="A583">
        <v>90908</v>
      </c>
      <c r="B583" s="2" t="s">
        <v>508</v>
      </c>
      <c r="C583" s="2" t="s">
        <v>564</v>
      </c>
      <c r="D583" s="2" t="s">
        <v>572</v>
      </c>
      <c r="E583" s="4"/>
    </row>
    <row r="584" spans="1:5" x14ac:dyDescent="0.25">
      <c r="A584">
        <v>81009</v>
      </c>
      <c r="B584" s="2" t="s">
        <v>451</v>
      </c>
      <c r="C584" s="2" t="s">
        <v>494</v>
      </c>
      <c r="D584" s="2" t="s">
        <v>503</v>
      </c>
      <c r="E584" s="4">
        <v>92</v>
      </c>
    </row>
    <row r="585" spans="1:5" x14ac:dyDescent="0.25">
      <c r="A585">
        <v>60607</v>
      </c>
      <c r="B585" s="2" t="s">
        <v>321</v>
      </c>
      <c r="C585" s="2" t="s">
        <v>359</v>
      </c>
      <c r="D585" s="2" t="s">
        <v>366</v>
      </c>
      <c r="E585" s="4"/>
    </row>
    <row r="586" spans="1:5" x14ac:dyDescent="0.25">
      <c r="A586">
        <v>70310</v>
      </c>
      <c r="B586" s="2" t="s">
        <v>374</v>
      </c>
      <c r="C586" s="2" t="s">
        <v>374</v>
      </c>
      <c r="D586" s="2" t="s">
        <v>366</v>
      </c>
      <c r="E586" s="4">
        <v>2</v>
      </c>
    </row>
    <row r="587" spans="1:5" x14ac:dyDescent="0.25">
      <c r="A587">
        <v>30111</v>
      </c>
      <c r="B587" s="2" t="s">
        <v>164</v>
      </c>
      <c r="C587" s="2" t="s">
        <v>164</v>
      </c>
      <c r="D587" s="2" t="s">
        <v>174</v>
      </c>
      <c r="E587" s="4">
        <v>13</v>
      </c>
    </row>
    <row r="588" spans="1:5" x14ac:dyDescent="0.25">
      <c r="A588">
        <v>80206</v>
      </c>
      <c r="B588" s="2" t="s">
        <v>451</v>
      </c>
      <c r="C588" s="2" t="s">
        <v>452</v>
      </c>
      <c r="D588" s="2" t="s">
        <v>458</v>
      </c>
      <c r="E588" s="4"/>
    </row>
    <row r="589" spans="1:5" x14ac:dyDescent="0.25">
      <c r="A589">
        <v>130410</v>
      </c>
      <c r="B589" s="2" t="s">
        <v>732</v>
      </c>
      <c r="C589" s="2" t="s">
        <v>753</v>
      </c>
      <c r="D589" s="2" t="s">
        <v>761</v>
      </c>
      <c r="E589" s="4">
        <v>0</v>
      </c>
    </row>
    <row r="590" spans="1:5" x14ac:dyDescent="0.25">
      <c r="A590">
        <v>30112</v>
      </c>
      <c r="B590" s="2" t="s">
        <v>164</v>
      </c>
      <c r="C590" s="2" t="s">
        <v>164</v>
      </c>
      <c r="D590" s="2" t="s">
        <v>175</v>
      </c>
      <c r="E590" s="4">
        <v>3</v>
      </c>
    </row>
    <row r="591" spans="1:5" ht="24" x14ac:dyDescent="0.25">
      <c r="A591">
        <v>120208</v>
      </c>
      <c r="B591" s="2" t="s">
        <v>608</v>
      </c>
      <c r="C591" s="2" t="s">
        <v>618</v>
      </c>
      <c r="D591" s="2" t="s">
        <v>626</v>
      </c>
      <c r="E591" s="4"/>
    </row>
    <row r="592" spans="1:5" x14ac:dyDescent="0.25">
      <c r="A592">
        <v>30207</v>
      </c>
      <c r="B592" s="2" t="s">
        <v>164</v>
      </c>
      <c r="C592" s="2" t="s">
        <v>179</v>
      </c>
      <c r="D592" s="2" t="s">
        <v>186</v>
      </c>
      <c r="E592" s="4"/>
    </row>
    <row r="593" spans="1:5" ht="24" x14ac:dyDescent="0.25">
      <c r="A593">
        <v>120801</v>
      </c>
      <c r="B593" s="2" t="s">
        <v>608</v>
      </c>
      <c r="C593" s="2" t="s">
        <v>720</v>
      </c>
      <c r="D593" s="2" t="s">
        <v>721</v>
      </c>
      <c r="E593" s="4"/>
    </row>
    <row r="594" spans="1:5" x14ac:dyDescent="0.25">
      <c r="A594">
        <v>50109</v>
      </c>
      <c r="B594" s="2" t="s">
        <v>301</v>
      </c>
      <c r="C594" s="2" t="s">
        <v>302</v>
      </c>
      <c r="D594" s="2" t="s">
        <v>307</v>
      </c>
      <c r="E594" s="4"/>
    </row>
    <row r="595" spans="1:5" x14ac:dyDescent="0.25">
      <c r="A595">
        <v>40507</v>
      </c>
      <c r="B595" s="2" t="s">
        <v>205</v>
      </c>
      <c r="C595" s="2" t="s">
        <v>237</v>
      </c>
      <c r="D595" s="2" t="s">
        <v>242</v>
      </c>
      <c r="E595" s="4"/>
    </row>
    <row r="596" spans="1:5" x14ac:dyDescent="0.25">
      <c r="A596">
        <v>90105</v>
      </c>
      <c r="B596" s="2" t="s">
        <v>508</v>
      </c>
      <c r="C596" s="2" t="s">
        <v>509</v>
      </c>
      <c r="D596" s="2" t="s">
        <v>514</v>
      </c>
      <c r="E596" s="4">
        <v>16</v>
      </c>
    </row>
    <row r="597" spans="1:5" x14ac:dyDescent="0.25">
      <c r="A597">
        <v>90405</v>
      </c>
      <c r="B597" s="2" t="s">
        <v>508</v>
      </c>
      <c r="C597" s="2" t="s">
        <v>425</v>
      </c>
      <c r="D597" s="2" t="s">
        <v>536</v>
      </c>
      <c r="E597" s="4"/>
    </row>
    <row r="598" spans="1:5" x14ac:dyDescent="0.25">
      <c r="A598">
        <v>40608</v>
      </c>
      <c r="B598" s="2" t="s">
        <v>205</v>
      </c>
      <c r="C598" s="2" t="s">
        <v>247</v>
      </c>
      <c r="D598" s="2" t="s">
        <v>252</v>
      </c>
      <c r="E598" s="4">
        <v>1</v>
      </c>
    </row>
    <row r="599" spans="1:5" x14ac:dyDescent="0.25">
      <c r="A599">
        <v>130901</v>
      </c>
      <c r="B599" s="2" t="s">
        <v>732</v>
      </c>
      <c r="C599" s="2" t="s">
        <v>252</v>
      </c>
      <c r="D599" s="2" t="s">
        <v>779</v>
      </c>
      <c r="E599" s="4"/>
    </row>
    <row r="600" spans="1:5" x14ac:dyDescent="0.25">
      <c r="A600">
        <v>80801</v>
      </c>
      <c r="B600" s="2" t="s">
        <v>451</v>
      </c>
      <c r="C600" s="2" t="s">
        <v>451</v>
      </c>
      <c r="D600" s="2" t="s">
        <v>473</v>
      </c>
      <c r="E600" s="4">
        <v>12</v>
      </c>
    </row>
    <row r="601" spans="1:5" x14ac:dyDescent="0.25">
      <c r="A601">
        <v>41104</v>
      </c>
      <c r="B601" s="2" t="s">
        <v>205</v>
      </c>
      <c r="C601" s="2" t="s">
        <v>284</v>
      </c>
      <c r="D601" s="2" t="s">
        <v>284</v>
      </c>
      <c r="E601" s="4">
        <v>2</v>
      </c>
    </row>
    <row r="602" spans="1:5" x14ac:dyDescent="0.25">
      <c r="A602">
        <v>80809</v>
      </c>
      <c r="B602" s="2" t="s">
        <v>451</v>
      </c>
      <c r="C602" s="2" t="s">
        <v>451</v>
      </c>
      <c r="D602" s="2" t="s">
        <v>479</v>
      </c>
      <c r="E602" s="4">
        <v>246</v>
      </c>
    </row>
    <row r="603" spans="1:5" x14ac:dyDescent="0.25">
      <c r="A603">
        <v>90801</v>
      </c>
      <c r="B603" s="2" t="s">
        <v>508</v>
      </c>
      <c r="C603" s="2" t="s">
        <v>479</v>
      </c>
      <c r="D603" s="2" t="s">
        <v>560</v>
      </c>
      <c r="E603" s="4">
        <v>4</v>
      </c>
    </row>
    <row r="604" spans="1:5" x14ac:dyDescent="0.25">
      <c r="A604">
        <v>40515</v>
      </c>
      <c r="B604" s="2" t="s">
        <v>205</v>
      </c>
      <c r="C604" s="2" t="s">
        <v>237</v>
      </c>
      <c r="D604" s="2" t="s">
        <v>686</v>
      </c>
      <c r="E604" s="4">
        <v>1</v>
      </c>
    </row>
    <row r="605" spans="1:5" x14ac:dyDescent="0.25">
      <c r="A605">
        <v>70219</v>
      </c>
      <c r="B605" s="2" t="s">
        <v>374</v>
      </c>
      <c r="C605" s="2" t="s">
        <v>105</v>
      </c>
      <c r="D605" s="2" t="s">
        <v>402</v>
      </c>
      <c r="E605" s="4"/>
    </row>
    <row r="606" spans="1:5" x14ac:dyDescent="0.25">
      <c r="A606">
        <v>90212</v>
      </c>
      <c r="B606" s="2" t="s">
        <v>508</v>
      </c>
      <c r="C606" s="2" t="s">
        <v>515</v>
      </c>
      <c r="D606" s="2" t="s">
        <v>402</v>
      </c>
      <c r="E606" s="4"/>
    </row>
    <row r="607" spans="1:5" x14ac:dyDescent="0.25">
      <c r="A607">
        <v>90305</v>
      </c>
      <c r="B607" s="2" t="s">
        <v>508</v>
      </c>
      <c r="C607" s="2" t="s">
        <v>526</v>
      </c>
      <c r="D607" s="2" t="s">
        <v>402</v>
      </c>
      <c r="E607" s="4"/>
    </row>
    <row r="608" spans="1:5" x14ac:dyDescent="0.25">
      <c r="A608">
        <v>90806</v>
      </c>
      <c r="B608" s="2" t="s">
        <v>508</v>
      </c>
      <c r="C608" s="2" t="s">
        <v>479</v>
      </c>
      <c r="D608" s="2" t="s">
        <v>402</v>
      </c>
      <c r="E608" s="4"/>
    </row>
    <row r="609" spans="1:5" x14ac:dyDescent="0.25">
      <c r="A609">
        <v>130909</v>
      </c>
      <c r="B609" s="2" t="s">
        <v>732</v>
      </c>
      <c r="C609" s="2" t="s">
        <v>252</v>
      </c>
      <c r="D609" s="2" t="s">
        <v>402</v>
      </c>
      <c r="E609" s="4"/>
    </row>
    <row r="610" spans="1:5" ht="24" x14ac:dyDescent="0.25">
      <c r="A610">
        <v>30601</v>
      </c>
      <c r="B610" s="2" t="s">
        <v>164</v>
      </c>
      <c r="C610" s="2" t="s">
        <v>681</v>
      </c>
      <c r="D610" s="2" t="s">
        <v>682</v>
      </c>
      <c r="E610" s="4">
        <v>3</v>
      </c>
    </row>
    <row r="611" spans="1:5" x14ac:dyDescent="0.25">
      <c r="A611">
        <v>30113</v>
      </c>
      <c r="B611" s="2" t="s">
        <v>164</v>
      </c>
      <c r="C611" s="2" t="s">
        <v>164</v>
      </c>
      <c r="D611" s="2" t="s">
        <v>176</v>
      </c>
      <c r="E611" s="4">
        <v>30</v>
      </c>
    </row>
    <row r="612" spans="1:5" x14ac:dyDescent="0.25">
      <c r="A612">
        <v>41204</v>
      </c>
      <c r="B612" s="2" t="s">
        <v>205</v>
      </c>
      <c r="C612" s="2" t="s">
        <v>288</v>
      </c>
      <c r="D612" s="2" t="s">
        <v>176</v>
      </c>
      <c r="E612" s="4">
        <v>0</v>
      </c>
    </row>
    <row r="613" spans="1:5" x14ac:dyDescent="0.25">
      <c r="A613">
        <v>90805</v>
      </c>
      <c r="B613" s="2" t="s">
        <v>508</v>
      </c>
      <c r="C613" s="2" t="s">
        <v>479</v>
      </c>
      <c r="D613" s="2" t="s">
        <v>176</v>
      </c>
      <c r="E613" s="4"/>
    </row>
    <row r="614" spans="1:5" x14ac:dyDescent="0.25">
      <c r="A614">
        <v>60105</v>
      </c>
      <c r="B614" s="2" t="s">
        <v>321</v>
      </c>
      <c r="C614" s="2" t="s">
        <v>322</v>
      </c>
      <c r="D614" s="2" t="s">
        <v>327</v>
      </c>
      <c r="E614" s="4">
        <v>1</v>
      </c>
    </row>
    <row r="615" spans="1:5" x14ac:dyDescent="0.25">
      <c r="A615">
        <v>20208</v>
      </c>
      <c r="B615" s="2" t="s">
        <v>116</v>
      </c>
      <c r="C615" s="2" t="s">
        <v>123</v>
      </c>
      <c r="D615" s="2" t="s">
        <v>131</v>
      </c>
      <c r="E615" s="4"/>
    </row>
    <row r="616" spans="1:5" ht="24" x14ac:dyDescent="0.25">
      <c r="A616">
        <v>30603</v>
      </c>
      <c r="B616" s="2" t="s">
        <v>164</v>
      </c>
      <c r="C616" s="2" t="s">
        <v>681</v>
      </c>
      <c r="D616" s="2" t="s">
        <v>684</v>
      </c>
      <c r="E616" s="4"/>
    </row>
    <row r="617" spans="1:5" x14ac:dyDescent="0.25">
      <c r="A617">
        <v>41205</v>
      </c>
      <c r="B617" s="2" t="s">
        <v>205</v>
      </c>
      <c r="C617" s="2" t="s">
        <v>288</v>
      </c>
      <c r="D617" s="2" t="s">
        <v>288</v>
      </c>
      <c r="E617" s="4"/>
    </row>
    <row r="618" spans="1:5" x14ac:dyDescent="0.25">
      <c r="A618">
        <v>90306</v>
      </c>
      <c r="B618" s="2" t="s">
        <v>508</v>
      </c>
      <c r="C618" s="2" t="s">
        <v>526</v>
      </c>
      <c r="D618" s="2" t="s">
        <v>531</v>
      </c>
      <c r="E618" s="4"/>
    </row>
    <row r="619" spans="1:5" x14ac:dyDescent="0.25">
      <c r="A619">
        <v>80818</v>
      </c>
      <c r="B619" s="2" t="s">
        <v>451</v>
      </c>
      <c r="C619" s="2" t="s">
        <v>451</v>
      </c>
      <c r="D619" s="2" t="s">
        <v>487</v>
      </c>
      <c r="E619" s="4">
        <v>73</v>
      </c>
    </row>
    <row r="620" spans="1:5" x14ac:dyDescent="0.25">
      <c r="A620">
        <v>90510</v>
      </c>
      <c r="B620" s="2" t="s">
        <v>508</v>
      </c>
      <c r="C620" s="2" t="s">
        <v>426</v>
      </c>
      <c r="D620" s="2" t="s">
        <v>545</v>
      </c>
      <c r="E620" s="4"/>
    </row>
    <row r="621" spans="1:5" x14ac:dyDescent="0.25">
      <c r="A621">
        <v>91011</v>
      </c>
      <c r="B621" s="2" t="s">
        <v>508</v>
      </c>
      <c r="C621" s="2" t="s">
        <v>573</v>
      </c>
      <c r="D621" s="2" t="s">
        <v>545</v>
      </c>
      <c r="E621" s="4">
        <v>42</v>
      </c>
    </row>
    <row r="622" spans="1:5" x14ac:dyDescent="0.25">
      <c r="A622">
        <v>70220</v>
      </c>
      <c r="B622" s="2" t="s">
        <v>374</v>
      </c>
      <c r="C622" s="2" t="s">
        <v>105</v>
      </c>
      <c r="D622" s="2" t="s">
        <v>403</v>
      </c>
      <c r="E622" s="4"/>
    </row>
    <row r="623" spans="1:5" x14ac:dyDescent="0.25">
      <c r="A623">
        <v>80201</v>
      </c>
      <c r="B623" s="2" t="s">
        <v>451</v>
      </c>
      <c r="C623" s="2" t="s">
        <v>452</v>
      </c>
      <c r="D623" s="2" t="s">
        <v>453</v>
      </c>
      <c r="E623" s="4"/>
    </row>
    <row r="624" spans="1:5" x14ac:dyDescent="0.25">
      <c r="A624">
        <v>40609</v>
      </c>
      <c r="B624" s="2" t="s">
        <v>205</v>
      </c>
      <c r="C624" s="2" t="s">
        <v>247</v>
      </c>
      <c r="D624" s="2" t="s">
        <v>253</v>
      </c>
      <c r="E624" s="4"/>
    </row>
    <row r="625" spans="1:5" x14ac:dyDescent="0.25">
      <c r="A625">
        <v>40610</v>
      </c>
      <c r="B625" s="2" t="s">
        <v>205</v>
      </c>
      <c r="C625" s="2" t="s">
        <v>247</v>
      </c>
      <c r="D625" s="2" t="s">
        <v>254</v>
      </c>
      <c r="E625" s="4">
        <v>9</v>
      </c>
    </row>
    <row r="626" spans="1:5" ht="24" x14ac:dyDescent="0.25">
      <c r="A626">
        <v>120904</v>
      </c>
      <c r="B626" s="2" t="s">
        <v>608</v>
      </c>
      <c r="C626" s="2" t="s">
        <v>726</v>
      </c>
      <c r="D626" s="2" t="s">
        <v>730</v>
      </c>
      <c r="E626" s="4"/>
    </row>
    <row r="627" spans="1:5" x14ac:dyDescent="0.25">
      <c r="A627">
        <v>91006</v>
      </c>
      <c r="B627" s="2" t="s">
        <v>508</v>
      </c>
      <c r="C627" s="2" t="s">
        <v>573</v>
      </c>
      <c r="D627" s="2" t="s">
        <v>578</v>
      </c>
      <c r="E627" s="4">
        <v>3</v>
      </c>
    </row>
    <row r="628" spans="1:5" x14ac:dyDescent="0.25">
      <c r="A628">
        <v>70311</v>
      </c>
      <c r="B628" s="2" t="s">
        <v>374</v>
      </c>
      <c r="C628" s="2" t="s">
        <v>374</v>
      </c>
      <c r="D628" s="2" t="s">
        <v>414</v>
      </c>
      <c r="E628" s="4"/>
    </row>
    <row r="629" spans="1:5" x14ac:dyDescent="0.25">
      <c r="A629">
        <v>80803</v>
      </c>
      <c r="B629" s="2" t="s">
        <v>451</v>
      </c>
      <c r="C629" s="2" t="s">
        <v>451</v>
      </c>
      <c r="D629" s="2" t="s">
        <v>414</v>
      </c>
      <c r="E629" s="4">
        <v>156</v>
      </c>
    </row>
    <row r="630" spans="1:5" ht="36" x14ac:dyDescent="0.25">
      <c r="A630">
        <v>120901</v>
      </c>
      <c r="B630" s="2" t="s">
        <v>608</v>
      </c>
      <c r="C630" s="2" t="s">
        <v>726</v>
      </c>
      <c r="D630" s="2" t="s">
        <v>727</v>
      </c>
      <c r="E630" s="4"/>
    </row>
    <row r="631" spans="1:5" x14ac:dyDescent="0.25">
      <c r="A631">
        <v>41008</v>
      </c>
      <c r="B631" s="2" t="s">
        <v>205</v>
      </c>
      <c r="C631" s="2" t="s">
        <v>275</v>
      </c>
      <c r="D631" s="2" t="s">
        <v>283</v>
      </c>
      <c r="E631" s="4"/>
    </row>
    <row r="632" spans="1:5" x14ac:dyDescent="0.25">
      <c r="A632">
        <v>130104</v>
      </c>
      <c r="B632" s="2" t="s">
        <v>732</v>
      </c>
      <c r="C632" s="2" t="s">
        <v>733</v>
      </c>
      <c r="D632" s="2" t="s">
        <v>283</v>
      </c>
      <c r="E632" s="4">
        <v>5</v>
      </c>
    </row>
    <row r="633" spans="1:5" x14ac:dyDescent="0.25">
      <c r="A633">
        <v>130104</v>
      </c>
      <c r="B633" s="2" t="s">
        <v>732</v>
      </c>
      <c r="C633" s="2" t="s">
        <v>733</v>
      </c>
      <c r="D633" s="2" t="s">
        <v>283</v>
      </c>
      <c r="E633" s="4">
        <v>5</v>
      </c>
    </row>
    <row r="634" spans="1:5" x14ac:dyDescent="0.25">
      <c r="A634">
        <v>41006</v>
      </c>
      <c r="B634" s="2" t="s">
        <v>205</v>
      </c>
      <c r="C634" s="2" t="s">
        <v>275</v>
      </c>
      <c r="D634" s="2" t="s">
        <v>281</v>
      </c>
      <c r="E634" s="4"/>
    </row>
    <row r="635" spans="1:5" x14ac:dyDescent="0.25">
      <c r="A635">
        <v>41105</v>
      </c>
      <c r="B635" s="2" t="s">
        <v>205</v>
      </c>
      <c r="C635" s="2" t="s">
        <v>284</v>
      </c>
      <c r="D635" s="2" t="s">
        <v>281</v>
      </c>
      <c r="E635" s="4"/>
    </row>
    <row r="636" spans="1:5" x14ac:dyDescent="0.25">
      <c r="A636">
        <v>80506</v>
      </c>
      <c r="B636" s="2" t="s">
        <v>451</v>
      </c>
      <c r="C636" s="2" t="s">
        <v>330</v>
      </c>
      <c r="D636" s="2" t="s">
        <v>464</v>
      </c>
      <c r="E636" s="4"/>
    </row>
    <row r="637" spans="1:5" x14ac:dyDescent="0.25">
      <c r="A637">
        <v>90901</v>
      </c>
      <c r="B637" s="2" t="s">
        <v>508</v>
      </c>
      <c r="C637" s="2" t="s">
        <v>564</v>
      </c>
      <c r="D637" s="2" t="s">
        <v>565</v>
      </c>
      <c r="E637" s="4">
        <v>0</v>
      </c>
    </row>
    <row r="638" spans="1:5" x14ac:dyDescent="0.25">
      <c r="A638">
        <v>50316</v>
      </c>
      <c r="B638" s="2" t="s">
        <v>301</v>
      </c>
      <c r="C638" s="2" t="s">
        <v>564</v>
      </c>
      <c r="D638" s="2" t="s">
        <v>565</v>
      </c>
      <c r="E638" s="4">
        <v>14</v>
      </c>
    </row>
    <row r="639" spans="1:5" x14ac:dyDescent="0.25">
      <c r="A639">
        <v>50316</v>
      </c>
      <c r="B639" s="2" t="s">
        <v>301</v>
      </c>
      <c r="C639" s="2" t="s">
        <v>564</v>
      </c>
      <c r="D639" s="2" t="s">
        <v>565</v>
      </c>
      <c r="E639" s="4">
        <v>14</v>
      </c>
    </row>
    <row r="640" spans="1:5" x14ac:dyDescent="0.25">
      <c r="A640">
        <v>30507</v>
      </c>
      <c r="B640" s="2" t="s">
        <v>164</v>
      </c>
      <c r="C640" s="2" t="s">
        <v>198</v>
      </c>
      <c r="D640" s="2" t="s">
        <v>198</v>
      </c>
      <c r="E640" s="4"/>
    </row>
    <row r="641" spans="1:5" x14ac:dyDescent="0.25">
      <c r="A641">
        <v>40905</v>
      </c>
      <c r="B641" s="2" t="s">
        <v>205</v>
      </c>
      <c r="C641" s="2" t="s">
        <v>269</v>
      </c>
      <c r="D641" s="2" t="s">
        <v>274</v>
      </c>
      <c r="E641" s="4"/>
    </row>
    <row r="642" spans="1:5" x14ac:dyDescent="0.25">
      <c r="A642">
        <v>60701</v>
      </c>
      <c r="B642" s="2" t="s">
        <v>321</v>
      </c>
      <c r="C642" s="2" t="s">
        <v>368</v>
      </c>
      <c r="D642" s="2" t="s">
        <v>369</v>
      </c>
      <c r="E642" s="4">
        <v>1</v>
      </c>
    </row>
    <row r="643" spans="1:5" x14ac:dyDescent="0.25">
      <c r="A643">
        <v>40508</v>
      </c>
      <c r="B643" s="2" t="s">
        <v>205</v>
      </c>
      <c r="C643" s="2" t="s">
        <v>237</v>
      </c>
      <c r="D643" s="2" t="s">
        <v>243</v>
      </c>
      <c r="E643" s="4">
        <v>0</v>
      </c>
    </row>
    <row r="644" spans="1:5" x14ac:dyDescent="0.25">
      <c r="A644">
        <v>20209</v>
      </c>
      <c r="B644" s="2" t="s">
        <v>116</v>
      </c>
      <c r="C644" s="2" t="s">
        <v>123</v>
      </c>
      <c r="D644" s="2" t="s">
        <v>132</v>
      </c>
      <c r="E644" s="4"/>
    </row>
    <row r="645" spans="1:5" x14ac:dyDescent="0.25">
      <c r="A645">
        <v>130718</v>
      </c>
      <c r="B645" s="2" t="s">
        <v>732</v>
      </c>
      <c r="C645" s="2" t="s">
        <v>763</v>
      </c>
      <c r="D645" s="2" t="s">
        <v>132</v>
      </c>
      <c r="E645" s="4">
        <v>3</v>
      </c>
    </row>
    <row r="646" spans="1:5" x14ac:dyDescent="0.25">
      <c r="A646">
        <v>30114</v>
      </c>
      <c r="B646" s="2" t="s">
        <v>164</v>
      </c>
      <c r="C646" s="2" t="s">
        <v>164</v>
      </c>
      <c r="D646" s="2" t="s">
        <v>177</v>
      </c>
      <c r="E646" s="4"/>
    </row>
    <row r="647" spans="1:5" x14ac:dyDescent="0.25">
      <c r="A647">
        <v>40509</v>
      </c>
      <c r="B647" s="2" t="s">
        <v>205</v>
      </c>
      <c r="C647" s="2" t="s">
        <v>237</v>
      </c>
      <c r="D647" s="2" t="s">
        <v>177</v>
      </c>
      <c r="E647" s="4"/>
    </row>
    <row r="648" spans="1:5" x14ac:dyDescent="0.25">
      <c r="A648">
        <v>130313</v>
      </c>
      <c r="B648" s="2" t="s">
        <v>732</v>
      </c>
      <c r="C648" s="2" t="s">
        <v>741</v>
      </c>
      <c r="D648" s="2" t="s">
        <v>177</v>
      </c>
      <c r="E648" s="4"/>
    </row>
    <row r="649" spans="1:5" x14ac:dyDescent="0.25">
      <c r="A649">
        <v>91001</v>
      </c>
      <c r="B649" s="2" t="s">
        <v>508</v>
      </c>
      <c r="C649" s="2" t="s">
        <v>573</v>
      </c>
      <c r="D649" s="2" t="s">
        <v>574</v>
      </c>
      <c r="E649" s="4">
        <v>105</v>
      </c>
    </row>
    <row r="650" spans="1:5" x14ac:dyDescent="0.25">
      <c r="A650">
        <v>91015</v>
      </c>
      <c r="B650" s="2" t="s">
        <v>508</v>
      </c>
      <c r="C650" s="2" t="s">
        <v>573</v>
      </c>
      <c r="D650" s="2" t="s">
        <v>708</v>
      </c>
      <c r="E650" s="4"/>
    </row>
    <row r="651" spans="1:5" x14ac:dyDescent="0.25">
      <c r="A651">
        <v>91016</v>
      </c>
      <c r="B651" s="2" t="s">
        <v>508</v>
      </c>
      <c r="C651" s="2" t="s">
        <v>573</v>
      </c>
      <c r="D651" s="2" t="s">
        <v>709</v>
      </c>
      <c r="E651" s="4"/>
    </row>
    <row r="652" spans="1:5" x14ac:dyDescent="0.25">
      <c r="A652">
        <v>40510</v>
      </c>
      <c r="B652" s="2" t="s">
        <v>205</v>
      </c>
      <c r="C652" s="2" t="s">
        <v>237</v>
      </c>
      <c r="D652" s="2" t="s">
        <v>244</v>
      </c>
      <c r="E652" s="4">
        <v>1</v>
      </c>
    </row>
    <row r="653" spans="1:5" x14ac:dyDescent="0.25">
      <c r="A653">
        <v>70221</v>
      </c>
      <c r="B653" s="2" t="s">
        <v>374</v>
      </c>
      <c r="C653" s="2" t="s">
        <v>105</v>
      </c>
      <c r="D653" s="2" t="s">
        <v>244</v>
      </c>
      <c r="E653" s="4"/>
    </row>
    <row r="654" spans="1:5" x14ac:dyDescent="0.25">
      <c r="A654">
        <v>40107</v>
      </c>
      <c r="B654" s="2" t="s">
        <v>205</v>
      </c>
      <c r="C654" s="2" t="s">
        <v>206</v>
      </c>
      <c r="D654" s="2" t="s">
        <v>213</v>
      </c>
      <c r="E654" s="4">
        <v>1</v>
      </c>
    </row>
    <row r="655" spans="1:5" x14ac:dyDescent="0.25">
      <c r="A655">
        <v>70222</v>
      </c>
      <c r="B655" s="2" t="s">
        <v>374</v>
      </c>
      <c r="C655" s="2" t="s">
        <v>105</v>
      </c>
      <c r="D655" s="2" t="s">
        <v>404</v>
      </c>
      <c r="E655" s="4"/>
    </row>
    <row r="656" spans="1:5" x14ac:dyDescent="0.25">
      <c r="A656">
        <v>50110</v>
      </c>
      <c r="B656" s="2" t="s">
        <v>301</v>
      </c>
      <c r="C656" s="2" t="s">
        <v>302</v>
      </c>
      <c r="D656" s="2" t="s">
        <v>308</v>
      </c>
      <c r="E656" s="4"/>
    </row>
    <row r="657" spans="1:5" x14ac:dyDescent="0.25">
      <c r="A657">
        <v>50110</v>
      </c>
      <c r="B657" s="2" t="s">
        <v>301</v>
      </c>
      <c r="C657" s="2" t="s">
        <v>302</v>
      </c>
      <c r="D657" s="2" t="s">
        <v>308</v>
      </c>
      <c r="E657" s="4"/>
    </row>
    <row r="658" spans="1:5" x14ac:dyDescent="0.25">
      <c r="A658">
        <v>10209</v>
      </c>
      <c r="B658" s="2" t="s">
        <v>92</v>
      </c>
      <c r="C658" s="2" t="s">
        <v>98</v>
      </c>
      <c r="D658" s="2" t="s">
        <v>99</v>
      </c>
      <c r="E658" s="4"/>
    </row>
    <row r="659" spans="1:5" x14ac:dyDescent="0.25">
      <c r="A659">
        <v>10403</v>
      </c>
      <c r="B659" s="2" t="s">
        <v>92</v>
      </c>
      <c r="C659" s="2" t="s">
        <v>98</v>
      </c>
      <c r="D659" s="2" t="s">
        <v>99</v>
      </c>
      <c r="E659" s="4"/>
    </row>
    <row r="660" spans="1:5" x14ac:dyDescent="0.25">
      <c r="A660">
        <v>50317</v>
      </c>
      <c r="B660" s="2" t="s">
        <v>301</v>
      </c>
      <c r="C660" s="2" t="s">
        <v>564</v>
      </c>
      <c r="D660" s="2" t="s">
        <v>99</v>
      </c>
      <c r="E660" s="4"/>
    </row>
    <row r="661" spans="1:5" ht="24" x14ac:dyDescent="0.25">
      <c r="A661">
        <v>120311</v>
      </c>
      <c r="B661" s="2" t="s">
        <v>608</v>
      </c>
      <c r="C661" s="2" t="s">
        <v>627</v>
      </c>
      <c r="D661" s="2" t="s">
        <v>637</v>
      </c>
      <c r="E661" s="4"/>
    </row>
    <row r="662" spans="1:5" x14ac:dyDescent="0.25">
      <c r="A662">
        <v>40514</v>
      </c>
      <c r="B662" s="2" t="s">
        <v>205</v>
      </c>
      <c r="C662" s="2" t="s">
        <v>237</v>
      </c>
      <c r="D662" s="2" t="s">
        <v>685</v>
      </c>
      <c r="E662" s="4"/>
    </row>
    <row r="663" spans="1:5" ht="24" x14ac:dyDescent="0.25">
      <c r="A663">
        <v>120101</v>
      </c>
      <c r="B663" s="2" t="s">
        <v>608</v>
      </c>
      <c r="C663" s="2" t="s">
        <v>609</v>
      </c>
      <c r="D663" s="2" t="s">
        <v>610</v>
      </c>
      <c r="E663" s="4">
        <v>1</v>
      </c>
    </row>
    <row r="664" spans="1:5" x14ac:dyDescent="0.25">
      <c r="A664">
        <v>91101</v>
      </c>
      <c r="B664" s="2" t="s">
        <v>508</v>
      </c>
      <c r="C664" s="2" t="s">
        <v>583</v>
      </c>
      <c r="D664" s="2" t="s">
        <v>584</v>
      </c>
      <c r="E664" s="4">
        <v>24</v>
      </c>
    </row>
    <row r="665" spans="1:5" x14ac:dyDescent="0.25">
      <c r="A665">
        <v>130411</v>
      </c>
      <c r="B665" s="2" t="s">
        <v>732</v>
      </c>
      <c r="C665" s="2" t="s">
        <v>753</v>
      </c>
      <c r="D665" s="2" t="s">
        <v>762</v>
      </c>
      <c r="E665" s="4"/>
    </row>
    <row r="666" spans="1:5" x14ac:dyDescent="0.25">
      <c r="A666">
        <v>40511</v>
      </c>
      <c r="B666" s="2" t="s">
        <v>205</v>
      </c>
      <c r="C666" s="2" t="s">
        <v>237</v>
      </c>
      <c r="D666" s="2" t="s">
        <v>245</v>
      </c>
      <c r="E666" s="4"/>
    </row>
    <row r="667" spans="1:5" ht="24" x14ac:dyDescent="0.25">
      <c r="A667">
        <v>120405</v>
      </c>
      <c r="B667" s="2" t="s">
        <v>608</v>
      </c>
      <c r="C667" s="2" t="s">
        <v>639</v>
      </c>
      <c r="D667" s="2" t="s">
        <v>644</v>
      </c>
      <c r="E667" s="4"/>
    </row>
    <row r="668" spans="1:5" x14ac:dyDescent="0.25">
      <c r="A668">
        <v>81101</v>
      </c>
      <c r="B668" s="2" t="s">
        <v>451</v>
      </c>
      <c r="C668" s="2" t="s">
        <v>504</v>
      </c>
      <c r="D668" s="2" t="s">
        <v>505</v>
      </c>
      <c r="E668" s="4"/>
    </row>
    <row r="669" spans="1:5" x14ac:dyDescent="0.25">
      <c r="A669">
        <v>50111</v>
      </c>
      <c r="B669" s="2" t="s">
        <v>301</v>
      </c>
      <c r="C669" s="2" t="s">
        <v>302</v>
      </c>
      <c r="D669" s="2" t="s">
        <v>309</v>
      </c>
      <c r="E669" s="4"/>
    </row>
    <row r="670" spans="1:5" x14ac:dyDescent="0.25">
      <c r="A670">
        <v>91205</v>
      </c>
      <c r="B670" s="2" t="s">
        <v>508</v>
      </c>
      <c r="C670" s="2" t="s">
        <v>591</v>
      </c>
      <c r="D670" s="2" t="s">
        <v>595</v>
      </c>
      <c r="E670" s="4">
        <v>0</v>
      </c>
    </row>
    <row r="671" spans="1:5" x14ac:dyDescent="0.25">
      <c r="A671">
        <v>10105</v>
      </c>
      <c r="B671" s="2" t="s">
        <v>92</v>
      </c>
      <c r="C671" s="2" t="s">
        <v>92</v>
      </c>
      <c r="D671" s="2" t="s">
        <v>97</v>
      </c>
      <c r="E671" s="4"/>
    </row>
    <row r="672" spans="1:5" x14ac:dyDescent="0.25">
      <c r="A672">
        <v>40308</v>
      </c>
      <c r="B672" s="2" t="s">
        <v>205</v>
      </c>
      <c r="C672" s="2" t="s">
        <v>222</v>
      </c>
      <c r="D672" s="2" t="s">
        <v>230</v>
      </c>
      <c r="E672" s="4">
        <v>1</v>
      </c>
    </row>
    <row r="673" spans="1:5" x14ac:dyDescent="0.25">
      <c r="A673">
        <v>40707</v>
      </c>
      <c r="B673" s="2" t="s">
        <v>205</v>
      </c>
      <c r="C673" s="2" t="s">
        <v>255</v>
      </c>
      <c r="D673" s="2" t="s">
        <v>262</v>
      </c>
      <c r="E673" s="4"/>
    </row>
    <row r="674" spans="1:5" x14ac:dyDescent="0.25">
      <c r="A674">
        <v>20609</v>
      </c>
      <c r="B674" s="2" t="s">
        <v>116</v>
      </c>
      <c r="C674" s="2" t="s">
        <v>154</v>
      </c>
      <c r="D674" s="2" t="s">
        <v>162</v>
      </c>
      <c r="E674" s="4">
        <v>0</v>
      </c>
    </row>
    <row r="675" spans="1:5" ht="24" x14ac:dyDescent="0.25">
      <c r="A675">
        <v>120706</v>
      </c>
      <c r="B675" s="2" t="s">
        <v>608</v>
      </c>
      <c r="C675" s="2" t="s">
        <v>660</v>
      </c>
      <c r="D675" s="2" t="s">
        <v>663</v>
      </c>
      <c r="E675" s="4"/>
    </row>
    <row r="676" spans="1:5" x14ac:dyDescent="0.25">
      <c r="A676">
        <v>80819</v>
      </c>
      <c r="B676" s="2" t="s">
        <v>451</v>
      </c>
      <c r="C676" s="2" t="s">
        <v>451</v>
      </c>
      <c r="D676" s="2" t="s">
        <v>488</v>
      </c>
      <c r="E676" s="4">
        <v>513</v>
      </c>
    </row>
    <row r="677" spans="1:5" x14ac:dyDescent="0.25">
      <c r="A677">
        <v>41301</v>
      </c>
      <c r="B677" s="2" t="s">
        <v>205</v>
      </c>
      <c r="C677" s="2" t="s">
        <v>292</v>
      </c>
      <c r="D677" s="2" t="s">
        <v>293</v>
      </c>
      <c r="E677" s="4"/>
    </row>
    <row r="678" spans="1:5" ht="24" x14ac:dyDescent="0.25">
      <c r="A678">
        <v>120611</v>
      </c>
      <c r="B678" s="2" t="s">
        <v>608</v>
      </c>
      <c r="C678" s="2" t="s">
        <v>655</v>
      </c>
      <c r="D678" s="2" t="s">
        <v>719</v>
      </c>
      <c r="E678" s="4"/>
    </row>
    <row r="679" spans="1:5" x14ac:dyDescent="0.25">
      <c r="A679">
        <v>70701</v>
      </c>
      <c r="B679" s="2" t="s">
        <v>374</v>
      </c>
      <c r="C679" s="2" t="s">
        <v>439</v>
      </c>
      <c r="D679" s="2" t="s">
        <v>440</v>
      </c>
      <c r="E679" s="4"/>
    </row>
    <row r="680" spans="1:5" x14ac:dyDescent="0.25">
      <c r="A680">
        <v>80508</v>
      </c>
      <c r="B680" s="2" t="s">
        <v>451</v>
      </c>
      <c r="C680" s="2" t="s">
        <v>330</v>
      </c>
      <c r="D680" s="2" t="s">
        <v>466</v>
      </c>
      <c r="E680" s="4">
        <v>16</v>
      </c>
    </row>
    <row r="681" spans="1:5" x14ac:dyDescent="0.25">
      <c r="A681">
        <v>20406</v>
      </c>
      <c r="B681" s="2" t="s">
        <v>116</v>
      </c>
      <c r="C681" s="2" t="s">
        <v>141</v>
      </c>
      <c r="D681" s="2" t="s">
        <v>147</v>
      </c>
      <c r="E681" s="4"/>
    </row>
    <row r="682" spans="1:5" x14ac:dyDescent="0.25">
      <c r="A682">
        <v>70312</v>
      </c>
      <c r="B682" s="2" t="s">
        <v>374</v>
      </c>
      <c r="C682" s="2" t="s">
        <v>374</v>
      </c>
      <c r="D682" s="2" t="s">
        <v>415</v>
      </c>
      <c r="E682" s="4"/>
    </row>
    <row r="683" spans="1:5" ht="24" x14ac:dyDescent="0.25">
      <c r="A683">
        <v>120805</v>
      </c>
      <c r="B683" s="2" t="s">
        <v>608</v>
      </c>
      <c r="C683" s="2" t="s">
        <v>720</v>
      </c>
      <c r="D683" s="2" t="s">
        <v>725</v>
      </c>
      <c r="E683" s="4">
        <v>13</v>
      </c>
    </row>
    <row r="684" spans="1:5" ht="24" x14ac:dyDescent="0.25">
      <c r="A684">
        <v>100104</v>
      </c>
      <c r="B684" s="2" t="s">
        <v>596</v>
      </c>
      <c r="C684" s="2" t="s">
        <v>596</v>
      </c>
      <c r="D684" s="2" t="s">
        <v>600</v>
      </c>
      <c r="E684" s="4">
        <v>1</v>
      </c>
    </row>
    <row r="685" spans="1:5" x14ac:dyDescent="0.25">
      <c r="A685">
        <v>50112</v>
      </c>
      <c r="B685" s="2" t="s">
        <v>301</v>
      </c>
      <c r="C685" s="2" t="s">
        <v>302</v>
      </c>
      <c r="D685" s="2" t="s">
        <v>310</v>
      </c>
      <c r="E685" s="4"/>
    </row>
    <row r="686" spans="1:5" x14ac:dyDescent="0.25">
      <c r="A686">
        <v>20610</v>
      </c>
      <c r="B686" s="2" t="s">
        <v>116</v>
      </c>
      <c r="C686" s="2" t="s">
        <v>154</v>
      </c>
      <c r="D686" s="2" t="s">
        <v>163</v>
      </c>
      <c r="E686" s="4"/>
    </row>
    <row r="687" spans="1:5" ht="24" x14ac:dyDescent="0.25">
      <c r="A687">
        <v>120312</v>
      </c>
      <c r="B687" s="2" t="s">
        <v>608</v>
      </c>
      <c r="C687" s="2" t="s">
        <v>627</v>
      </c>
      <c r="D687" s="2" t="s">
        <v>638</v>
      </c>
      <c r="E687" s="4"/>
    </row>
    <row r="688" spans="1:5" x14ac:dyDescent="0.25">
      <c r="A688">
        <v>90608</v>
      </c>
      <c r="B688" s="2" t="s">
        <v>508</v>
      </c>
      <c r="C688" s="2" t="s">
        <v>548</v>
      </c>
      <c r="D688" s="2" t="s">
        <v>555</v>
      </c>
      <c r="E688" s="4"/>
    </row>
    <row r="689" spans="1:5" x14ac:dyDescent="0.25">
      <c r="A689">
        <v>80605</v>
      </c>
      <c r="B689" s="2" t="s">
        <v>451</v>
      </c>
      <c r="C689" s="2" t="s">
        <v>467</v>
      </c>
      <c r="D689" s="2" t="s">
        <v>472</v>
      </c>
      <c r="E689" s="4"/>
    </row>
    <row r="690" spans="1:5" x14ac:dyDescent="0.25">
      <c r="A690">
        <v>91012</v>
      </c>
      <c r="B690" s="2" t="s">
        <v>508</v>
      </c>
      <c r="C690" s="2" t="s">
        <v>573</v>
      </c>
      <c r="D690" s="2" t="s">
        <v>582</v>
      </c>
      <c r="E690" s="4"/>
    </row>
    <row r="691" spans="1:5" x14ac:dyDescent="0.25">
      <c r="A691">
        <v>90704</v>
      </c>
      <c r="B691" s="2" t="s">
        <v>508</v>
      </c>
      <c r="C691" s="2" t="s">
        <v>556</v>
      </c>
      <c r="D691" s="2" t="s">
        <v>558</v>
      </c>
      <c r="E691" s="4"/>
    </row>
    <row r="692" spans="1:5" ht="24" x14ac:dyDescent="0.25">
      <c r="A692">
        <v>120905</v>
      </c>
      <c r="B692" s="2" t="s">
        <v>608</v>
      </c>
      <c r="C692" s="2" t="s">
        <v>726</v>
      </c>
      <c r="D692" s="2" t="s">
        <v>731</v>
      </c>
      <c r="E692" s="4"/>
    </row>
    <row r="693" spans="1:5" x14ac:dyDescent="0.25">
      <c r="A693">
        <v>10405</v>
      </c>
      <c r="B693" s="2" t="s">
        <v>92</v>
      </c>
      <c r="C693" s="2" t="s">
        <v>98</v>
      </c>
      <c r="D693" s="2" t="s">
        <v>672</v>
      </c>
      <c r="E693" s="4"/>
    </row>
    <row r="694" spans="1:5" x14ac:dyDescent="0.25">
      <c r="A694">
        <v>10406</v>
      </c>
      <c r="B694" s="2" t="s">
        <v>92</v>
      </c>
      <c r="C694" s="2" t="s">
        <v>98</v>
      </c>
      <c r="D694" s="2" t="s">
        <v>673</v>
      </c>
      <c r="E694" s="4"/>
    </row>
    <row r="695" spans="1:5" x14ac:dyDescent="0.25">
      <c r="A695">
        <v>70223</v>
      </c>
      <c r="B695" s="2" t="s">
        <v>374</v>
      </c>
      <c r="C695" s="2" t="s">
        <v>105</v>
      </c>
      <c r="D695" s="2" t="s">
        <v>405</v>
      </c>
      <c r="E695" s="4"/>
    </row>
    <row r="696" spans="1:5" x14ac:dyDescent="0.25">
      <c r="A696">
        <v>70224</v>
      </c>
      <c r="B696" s="2" t="s">
        <v>374</v>
      </c>
      <c r="C696" s="2" t="s">
        <v>105</v>
      </c>
      <c r="D696" s="2" t="s">
        <v>406</v>
      </c>
      <c r="E696" s="4"/>
    </row>
    <row r="697" spans="1:5" x14ac:dyDescent="0.25">
      <c r="A697">
        <v>41309</v>
      </c>
      <c r="B697" s="2" t="s">
        <v>205</v>
      </c>
      <c r="C697" s="2" t="s">
        <v>292</v>
      </c>
      <c r="D697" s="2" t="s">
        <v>300</v>
      </c>
      <c r="E697" s="4"/>
    </row>
    <row r="698" spans="1:5" x14ac:dyDescent="0.25">
      <c r="A698">
        <v>130105</v>
      </c>
      <c r="B698" s="2" t="s">
        <v>732</v>
      </c>
      <c r="C698" s="2" t="s">
        <v>733</v>
      </c>
      <c r="D698" s="2" t="s">
        <v>737</v>
      </c>
      <c r="E698" s="4">
        <v>233</v>
      </c>
    </row>
    <row r="699" spans="1:5" x14ac:dyDescent="0.25">
      <c r="A699">
        <v>81005</v>
      </c>
      <c r="B699" s="2" t="s">
        <v>451</v>
      </c>
      <c r="C699" s="2" t="s">
        <v>494</v>
      </c>
      <c r="D699" s="2" t="s">
        <v>499</v>
      </c>
      <c r="E699" s="4">
        <v>52</v>
      </c>
    </row>
    <row r="700" spans="1:5" x14ac:dyDescent="0.25">
      <c r="A700">
        <v>30508</v>
      </c>
      <c r="B700" s="2" t="s">
        <v>164</v>
      </c>
      <c r="C700" s="2" t="s">
        <v>198</v>
      </c>
      <c r="D700" s="2" t="s">
        <v>204</v>
      </c>
      <c r="E700" s="4"/>
    </row>
    <row r="701" spans="1:5" x14ac:dyDescent="0.25">
      <c r="A701">
        <v>90511</v>
      </c>
      <c r="B701" s="2" t="s">
        <v>508</v>
      </c>
      <c r="C701" s="2" t="s">
        <v>426</v>
      </c>
      <c r="D701" s="2" t="s">
        <v>546</v>
      </c>
      <c r="E701" s="4"/>
    </row>
    <row r="702" spans="1:5" x14ac:dyDescent="0.25">
      <c r="A702">
        <v>130311</v>
      </c>
      <c r="B702" s="2" t="s">
        <v>732</v>
      </c>
      <c r="C702" s="2" t="s">
        <v>741</v>
      </c>
      <c r="D702" s="2" t="s">
        <v>750</v>
      </c>
      <c r="E702" s="4"/>
    </row>
    <row r="703" spans="1:5" x14ac:dyDescent="0.25">
      <c r="A703">
        <v>70314</v>
      </c>
      <c r="B703" s="2" t="s">
        <v>374</v>
      </c>
      <c r="C703" s="2" t="s">
        <v>374</v>
      </c>
      <c r="D703" s="2" t="s">
        <v>417</v>
      </c>
      <c r="E703" s="4"/>
    </row>
    <row r="704" spans="1:5" x14ac:dyDescent="0.25">
      <c r="A704">
        <v>130312</v>
      </c>
      <c r="B704" s="2" t="s">
        <v>732</v>
      </c>
      <c r="C704" s="2" t="s">
        <v>741</v>
      </c>
      <c r="D704" s="2" t="s">
        <v>751</v>
      </c>
      <c r="E704" s="4">
        <v>9</v>
      </c>
    </row>
    <row r="705" spans="1:5" x14ac:dyDescent="0.25">
      <c r="A705">
        <v>20407</v>
      </c>
      <c r="B705" s="2" t="s">
        <v>116</v>
      </c>
      <c r="C705" s="2" t="s">
        <v>141</v>
      </c>
      <c r="D705" s="2" t="s">
        <v>679</v>
      </c>
      <c r="E705" s="4">
        <v>3</v>
      </c>
    </row>
    <row r="706" spans="1:5" x14ac:dyDescent="0.25">
      <c r="A706">
        <v>20107</v>
      </c>
      <c r="B706" s="2" t="s">
        <v>116</v>
      </c>
      <c r="C706" s="2" t="s">
        <v>117</v>
      </c>
      <c r="D706" s="2" t="s">
        <v>676</v>
      </c>
      <c r="E706" s="4"/>
    </row>
    <row r="707" spans="1:5" x14ac:dyDescent="0.25">
      <c r="A707">
        <v>130106</v>
      </c>
      <c r="B707" s="2" t="s">
        <v>732</v>
      </c>
      <c r="C707" s="2" t="s">
        <v>733</v>
      </c>
      <c r="D707" s="2" t="s">
        <v>738</v>
      </c>
      <c r="E707" s="4">
        <v>272</v>
      </c>
    </row>
    <row r="708" spans="1:5" x14ac:dyDescent="0.25">
      <c r="A708">
        <v>41401</v>
      </c>
      <c r="B708" s="2" t="s">
        <v>205</v>
      </c>
      <c r="C708" s="2" t="s">
        <v>689</v>
      </c>
      <c r="D708" s="2" t="s">
        <v>690</v>
      </c>
      <c r="E708" s="4">
        <v>1</v>
      </c>
    </row>
    <row r="709" spans="1:5" x14ac:dyDescent="0.25">
      <c r="A709">
        <v>50206</v>
      </c>
      <c r="B709" s="2" t="s">
        <v>301</v>
      </c>
      <c r="C709" s="2" t="s">
        <v>312</v>
      </c>
      <c r="D709" s="2" t="s">
        <v>317</v>
      </c>
      <c r="E709" s="4"/>
    </row>
    <row r="710" spans="1:5" x14ac:dyDescent="0.25">
      <c r="A710">
        <v>50207</v>
      </c>
      <c r="B710" s="2" t="s">
        <v>301</v>
      </c>
      <c r="C710" s="2" t="s">
        <v>312</v>
      </c>
      <c r="D710" s="2" t="s">
        <v>318</v>
      </c>
      <c r="E710" s="4">
        <v>49</v>
      </c>
    </row>
    <row r="711" spans="1:5" x14ac:dyDescent="0.25">
      <c r="A711">
        <v>50207</v>
      </c>
      <c r="B711" s="2" t="s">
        <v>301</v>
      </c>
      <c r="C711" s="2" t="s">
        <v>312</v>
      </c>
      <c r="D711" s="2" t="s">
        <v>318</v>
      </c>
      <c r="E711" s="4">
        <v>49</v>
      </c>
    </row>
    <row r="712" spans="1:5" x14ac:dyDescent="0.25">
      <c r="A712">
        <v>50317</v>
      </c>
      <c r="B712" s="2" t="s">
        <v>301</v>
      </c>
      <c r="C712" s="2" t="s">
        <v>564</v>
      </c>
      <c r="D712" s="2" t="s">
        <v>699</v>
      </c>
      <c r="E712" s="4"/>
    </row>
    <row r="713" spans="1:5" x14ac:dyDescent="0.25">
      <c r="A713">
        <v>50317</v>
      </c>
      <c r="B713" s="2" t="s">
        <v>301</v>
      </c>
      <c r="C713" s="2" t="s">
        <v>564</v>
      </c>
      <c r="D713" s="2" t="s">
        <v>699</v>
      </c>
      <c r="E713" s="4"/>
    </row>
    <row r="714" spans="1:5" x14ac:dyDescent="0.25">
      <c r="A714">
        <v>90512</v>
      </c>
      <c r="B714" s="2" t="s">
        <v>508</v>
      </c>
      <c r="C714" s="2" t="s">
        <v>426</v>
      </c>
      <c r="D714" s="2" t="s">
        <v>547</v>
      </c>
      <c r="E714" s="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716-C6A7-495D-8327-6AA8F76AF37C}">
  <dimension ref="A6:Q721"/>
  <sheetViews>
    <sheetView showGridLines="0" workbookViewId="0">
      <pane ySplit="10" topLeftCell="A587" activePane="bottomLeft" state="frozen"/>
      <selection pane="bottomLeft" activeCell="C589" sqref="C589"/>
    </sheetView>
  </sheetViews>
  <sheetFormatPr baseColWidth="10" defaultColWidth="11.42578125" defaultRowHeight="15" x14ac:dyDescent="0.25"/>
  <cols>
    <col min="1" max="1" width="5.5703125" customWidth="1"/>
    <col min="2" max="2" width="35.28515625" customWidth="1"/>
    <col min="3" max="3" width="12.28515625" customWidth="1"/>
    <col min="4" max="4" width="23.5703125" bestFit="1" customWidth="1"/>
    <col min="5" max="5" width="12" bestFit="1" customWidth="1"/>
    <col min="6" max="6" width="12.7109375" bestFit="1" customWidth="1"/>
    <col min="7" max="7" width="19.42578125" customWidth="1"/>
    <col min="8" max="8" width="10.28515625" customWidth="1"/>
    <col min="9" max="9" width="24.28515625" bestFit="1" customWidth="1"/>
    <col min="10" max="10" width="12" bestFit="1" customWidth="1"/>
    <col min="11" max="11" width="12.7109375" bestFit="1" customWidth="1"/>
    <col min="12" max="12" width="14.7109375" customWidth="1"/>
    <col min="13" max="13" width="10.7109375" customWidth="1"/>
    <col min="14" max="14" width="43.140625" bestFit="1" customWidth="1"/>
    <col min="15" max="15" width="12" bestFit="1" customWidth="1"/>
    <col min="16" max="16" width="12.7109375" bestFit="1" customWidth="1"/>
    <col min="17" max="17" width="11.28515625" customWidth="1"/>
  </cols>
  <sheetData>
    <row r="6" spans="1:17" ht="20.45" customHeight="1" x14ac:dyDescent="0.25"/>
    <row r="9" spans="1:17" ht="18" customHeight="1" x14ac:dyDescent="0.25"/>
    <row r="10" spans="1:17" x14ac:dyDescent="0.25">
      <c r="A10" t="s">
        <v>787</v>
      </c>
      <c r="B10" t="s">
        <v>788</v>
      </c>
      <c r="C10" t="s">
        <v>789</v>
      </c>
      <c r="D10" t="s">
        <v>1</v>
      </c>
      <c r="E10" t="s">
        <v>790</v>
      </c>
      <c r="F10" t="s">
        <v>791</v>
      </c>
      <c r="G10" t="s">
        <v>792</v>
      </c>
      <c r="H10" t="s">
        <v>793</v>
      </c>
      <c r="I10" t="s">
        <v>2</v>
      </c>
      <c r="J10" t="s">
        <v>794</v>
      </c>
      <c r="K10" t="s">
        <v>795</v>
      </c>
      <c r="L10" t="s">
        <v>796</v>
      </c>
      <c r="M10" t="s">
        <v>797</v>
      </c>
      <c r="N10" t="s">
        <v>3</v>
      </c>
      <c r="O10" t="s">
        <v>798</v>
      </c>
      <c r="P10" t="s">
        <v>799</v>
      </c>
      <c r="Q10" t="s">
        <v>800</v>
      </c>
    </row>
    <row r="11" spans="1:17" x14ac:dyDescent="0.25">
      <c r="A11">
        <v>0</v>
      </c>
      <c r="B11" t="str">
        <f>+N11</f>
        <v>Bocas del Toro (Cabecera)</v>
      </c>
      <c r="C11">
        <v>1</v>
      </c>
      <c r="D11" t="s">
        <v>92</v>
      </c>
      <c r="E11">
        <v>9.2170095443725586</v>
      </c>
      <c r="F11">
        <v>-82.584602355957031</v>
      </c>
      <c r="G11">
        <v>125461</v>
      </c>
      <c r="H11">
        <v>101</v>
      </c>
      <c r="I11" t="s">
        <v>92</v>
      </c>
      <c r="J11">
        <v>9.2183799743652344</v>
      </c>
      <c r="K11">
        <v>-82.242996215820313</v>
      </c>
      <c r="L11">
        <v>16135</v>
      </c>
      <c r="M11">
        <v>10101</v>
      </c>
      <c r="N11" t="s">
        <v>93</v>
      </c>
      <c r="O11">
        <v>9.3769998550415039</v>
      </c>
      <c r="P11">
        <v>-82.230003356933594</v>
      </c>
      <c r="Q11">
        <v>7366</v>
      </c>
    </row>
    <row r="12" spans="1:17" x14ac:dyDescent="0.25">
      <c r="A12">
        <v>1</v>
      </c>
      <c r="B12" t="str">
        <f t="shared" ref="B12:B75" si="0">+N12</f>
        <v>Bastimentos</v>
      </c>
      <c r="C12">
        <v>1</v>
      </c>
      <c r="D12" t="s">
        <v>92</v>
      </c>
      <c r="E12">
        <v>9.2170095443725586</v>
      </c>
      <c r="F12">
        <v>-82.584602355957031</v>
      </c>
      <c r="G12">
        <v>125461</v>
      </c>
      <c r="H12">
        <v>101</v>
      </c>
      <c r="I12" t="s">
        <v>92</v>
      </c>
      <c r="J12">
        <v>9.2183799743652344</v>
      </c>
      <c r="K12">
        <v>-82.242996215820313</v>
      </c>
      <c r="L12">
        <v>16135</v>
      </c>
      <c r="M12">
        <v>10102</v>
      </c>
      <c r="N12" t="s">
        <v>94</v>
      </c>
      <c r="O12">
        <v>9.3067502975463867</v>
      </c>
      <c r="P12">
        <v>-82.150497436523438</v>
      </c>
      <c r="Q12">
        <v>1954</v>
      </c>
    </row>
    <row r="13" spans="1:17" x14ac:dyDescent="0.25">
      <c r="A13">
        <v>2</v>
      </c>
      <c r="B13" t="str">
        <f t="shared" si="0"/>
        <v>Cauchero</v>
      </c>
      <c r="C13">
        <v>1</v>
      </c>
      <c r="D13" t="s">
        <v>92</v>
      </c>
      <c r="E13">
        <v>9.2170095443725586</v>
      </c>
      <c r="F13">
        <v>-82.584602355957031</v>
      </c>
      <c r="G13">
        <v>125461</v>
      </c>
      <c r="H13">
        <v>101</v>
      </c>
      <c r="I13" t="s">
        <v>92</v>
      </c>
      <c r="J13">
        <v>9.2183799743652344</v>
      </c>
      <c r="K13">
        <v>-82.242996215820313</v>
      </c>
      <c r="L13">
        <v>16135</v>
      </c>
      <c r="M13">
        <v>10103</v>
      </c>
      <c r="N13" t="s">
        <v>95</v>
      </c>
      <c r="O13">
        <v>9.1290197372436523</v>
      </c>
      <c r="P13">
        <v>-82.360397338867188</v>
      </c>
      <c r="Q13">
        <v>2424</v>
      </c>
    </row>
    <row r="14" spans="1:17" x14ac:dyDescent="0.25">
      <c r="A14">
        <v>3</v>
      </c>
      <c r="B14" t="str">
        <f t="shared" si="0"/>
        <v>Punta Laurel</v>
      </c>
      <c r="C14">
        <v>1</v>
      </c>
      <c r="D14" t="s">
        <v>92</v>
      </c>
      <c r="E14">
        <v>9.2170095443725586</v>
      </c>
      <c r="F14">
        <v>-82.584602355957031</v>
      </c>
      <c r="G14">
        <v>125461</v>
      </c>
      <c r="H14">
        <v>101</v>
      </c>
      <c r="I14" t="s">
        <v>92</v>
      </c>
      <c r="J14">
        <v>9.2183799743652344</v>
      </c>
      <c r="K14">
        <v>-82.242996215820313</v>
      </c>
      <c r="L14">
        <v>16135</v>
      </c>
      <c r="M14">
        <v>10104</v>
      </c>
      <c r="N14" t="s">
        <v>96</v>
      </c>
      <c r="O14">
        <v>9.1766901016235352</v>
      </c>
      <c r="P14">
        <v>-82.107002258300781</v>
      </c>
      <c r="Q14">
        <v>1730</v>
      </c>
    </row>
    <row r="15" spans="1:17" x14ac:dyDescent="0.25">
      <c r="A15">
        <v>4</v>
      </c>
      <c r="B15" t="str">
        <f t="shared" si="0"/>
        <v>Tierra Oscura</v>
      </c>
      <c r="C15">
        <v>1</v>
      </c>
      <c r="D15" t="s">
        <v>92</v>
      </c>
      <c r="E15">
        <v>9.2170095443725586</v>
      </c>
      <c r="F15">
        <v>-82.584602355957031</v>
      </c>
      <c r="G15">
        <v>125461</v>
      </c>
      <c r="H15">
        <v>101</v>
      </c>
      <c r="I15" t="s">
        <v>92</v>
      </c>
      <c r="J15">
        <v>9.2183799743652344</v>
      </c>
      <c r="K15">
        <v>-82.242996215820313</v>
      </c>
      <c r="L15">
        <v>16135</v>
      </c>
      <c r="M15">
        <v>10105</v>
      </c>
      <c r="N15" t="s">
        <v>97</v>
      </c>
      <c r="O15">
        <v>9.2150897979736328</v>
      </c>
      <c r="P15">
        <v>-82.240402221679688</v>
      </c>
      <c r="Q15">
        <v>2661</v>
      </c>
    </row>
    <row r="16" spans="1:17" x14ac:dyDescent="0.25">
      <c r="A16">
        <v>5</v>
      </c>
      <c r="B16" t="str">
        <f t="shared" si="0"/>
        <v>Sin asignar</v>
      </c>
      <c r="C16">
        <v>1</v>
      </c>
      <c r="D16" t="s">
        <v>92</v>
      </c>
      <c r="E16">
        <v>9.2170095443725586</v>
      </c>
      <c r="F16">
        <v>-82.584602355957031</v>
      </c>
      <c r="G16">
        <v>125461</v>
      </c>
      <c r="H16">
        <v>102</v>
      </c>
      <c r="I16" t="s">
        <v>98</v>
      </c>
      <c r="J16">
        <v>9.3393001556396484</v>
      </c>
      <c r="K16">
        <v>-82.460800170898438</v>
      </c>
      <c r="L16">
        <v>98310</v>
      </c>
      <c r="M16">
        <v>10209</v>
      </c>
      <c r="N16" t="s">
        <v>99</v>
      </c>
      <c r="O16">
        <v>9.3393001556396484</v>
      </c>
      <c r="P16">
        <v>-82.460800170898438</v>
      </c>
      <c r="Q16">
        <v>3046</v>
      </c>
    </row>
    <row r="17" spans="1:17" x14ac:dyDescent="0.25">
      <c r="A17">
        <v>6</v>
      </c>
      <c r="B17" t="str">
        <f t="shared" si="0"/>
        <v>Changuinola (Cabecera)</v>
      </c>
      <c r="C17">
        <v>1</v>
      </c>
      <c r="D17" t="s">
        <v>92</v>
      </c>
      <c r="E17">
        <v>9.2170095443725586</v>
      </c>
      <c r="F17">
        <v>-82.584602355957031</v>
      </c>
      <c r="G17">
        <v>125461</v>
      </c>
      <c r="H17">
        <v>102</v>
      </c>
      <c r="I17" t="s">
        <v>100</v>
      </c>
      <c r="J17">
        <v>9.3393001556396484</v>
      </c>
      <c r="K17">
        <v>-82.460800170898438</v>
      </c>
      <c r="L17">
        <v>98310</v>
      </c>
      <c r="M17">
        <v>10201</v>
      </c>
      <c r="N17" t="s">
        <v>101</v>
      </c>
      <c r="O17">
        <v>9.449040412902832</v>
      </c>
      <c r="P17">
        <v>-82.522003173828125</v>
      </c>
      <c r="Q17">
        <v>31223</v>
      </c>
    </row>
    <row r="18" spans="1:17" x14ac:dyDescent="0.25">
      <c r="A18">
        <v>7</v>
      </c>
      <c r="B18" t="str">
        <f t="shared" si="0"/>
        <v>Guabito</v>
      </c>
      <c r="C18">
        <v>1</v>
      </c>
      <c r="D18" t="s">
        <v>92</v>
      </c>
      <c r="E18">
        <v>9.2170095443725586</v>
      </c>
      <c r="F18">
        <v>-82.584602355957031</v>
      </c>
      <c r="G18">
        <v>125461</v>
      </c>
      <c r="H18">
        <v>102</v>
      </c>
      <c r="I18" t="s">
        <v>100</v>
      </c>
      <c r="J18">
        <v>9.3393001556396484</v>
      </c>
      <c r="K18">
        <v>-82.460800170898438</v>
      </c>
      <c r="L18">
        <v>98310</v>
      </c>
      <c r="M18">
        <v>10203</v>
      </c>
      <c r="N18" t="s">
        <v>102</v>
      </c>
      <c r="O18">
        <v>9.4860296249389648</v>
      </c>
      <c r="P18">
        <v>-82.597396850585938</v>
      </c>
      <c r="Q18">
        <v>8387</v>
      </c>
    </row>
    <row r="19" spans="1:17" x14ac:dyDescent="0.25">
      <c r="A19">
        <v>8</v>
      </c>
      <c r="B19" t="str">
        <f t="shared" si="0"/>
        <v>El Teribe</v>
      </c>
      <c r="C19">
        <v>1</v>
      </c>
      <c r="D19" t="s">
        <v>92</v>
      </c>
      <c r="E19">
        <v>9.2170095443725586</v>
      </c>
      <c r="F19">
        <v>-82.584602355957031</v>
      </c>
      <c r="G19">
        <v>125461</v>
      </c>
      <c r="H19">
        <v>102</v>
      </c>
      <c r="I19" t="s">
        <v>100</v>
      </c>
      <c r="J19">
        <v>9.3393001556396484</v>
      </c>
      <c r="K19">
        <v>-82.460800170898438</v>
      </c>
      <c r="L19">
        <v>98310</v>
      </c>
      <c r="M19">
        <v>10204</v>
      </c>
      <c r="N19" t="s">
        <v>103</v>
      </c>
      <c r="O19">
        <v>9.2762298583984375</v>
      </c>
      <c r="P19">
        <v>-82.750602722167969</v>
      </c>
      <c r="Q19">
        <v>2578</v>
      </c>
    </row>
    <row r="20" spans="1:17" x14ac:dyDescent="0.25">
      <c r="A20">
        <v>9</v>
      </c>
      <c r="B20" t="str">
        <f t="shared" si="0"/>
        <v>El Empalme</v>
      </c>
      <c r="C20">
        <v>1</v>
      </c>
      <c r="D20" t="s">
        <v>92</v>
      </c>
      <c r="E20">
        <v>9.2170095443725586</v>
      </c>
      <c r="F20">
        <v>-82.584602355957031</v>
      </c>
      <c r="G20">
        <v>125461</v>
      </c>
      <c r="H20">
        <v>102</v>
      </c>
      <c r="I20" t="s">
        <v>100</v>
      </c>
      <c r="J20">
        <v>9.3393001556396484</v>
      </c>
      <c r="K20">
        <v>-82.460800170898438</v>
      </c>
      <c r="L20">
        <v>98310</v>
      </c>
      <c r="M20">
        <v>10206</v>
      </c>
      <c r="N20" t="s">
        <v>104</v>
      </c>
      <c r="O20">
        <v>9.4120197296142578</v>
      </c>
      <c r="P20">
        <v>-82.503799438476563</v>
      </c>
      <c r="Q20">
        <v>18653</v>
      </c>
    </row>
    <row r="21" spans="1:17" x14ac:dyDescent="0.25">
      <c r="A21">
        <v>10</v>
      </c>
      <c r="B21" t="str">
        <f t="shared" si="0"/>
        <v>Las Tablas</v>
      </c>
      <c r="C21">
        <v>1</v>
      </c>
      <c r="D21" t="s">
        <v>92</v>
      </c>
      <c r="E21">
        <v>9.2170095443725586</v>
      </c>
      <c r="F21">
        <v>-82.584602355957031</v>
      </c>
      <c r="G21">
        <v>125461</v>
      </c>
      <c r="H21">
        <v>102</v>
      </c>
      <c r="I21" t="s">
        <v>100</v>
      </c>
      <c r="J21">
        <v>9.3393001556396484</v>
      </c>
      <c r="K21">
        <v>-82.460800170898438</v>
      </c>
      <c r="L21">
        <v>98310</v>
      </c>
      <c r="M21">
        <v>10207</v>
      </c>
      <c r="N21" t="s">
        <v>105</v>
      </c>
      <c r="O21">
        <v>9.5335798263549805</v>
      </c>
      <c r="P21">
        <v>-82.741798400878906</v>
      </c>
      <c r="Q21">
        <v>9286</v>
      </c>
    </row>
    <row r="22" spans="1:17" x14ac:dyDescent="0.25">
      <c r="A22">
        <v>11</v>
      </c>
      <c r="B22" t="str">
        <f t="shared" si="0"/>
        <v>Cochigró</v>
      </c>
      <c r="C22">
        <v>1</v>
      </c>
      <c r="D22" t="s">
        <v>92</v>
      </c>
      <c r="E22">
        <v>9.2170095443725586</v>
      </c>
      <c r="F22">
        <v>-82.584602355957031</v>
      </c>
      <c r="G22">
        <v>125461</v>
      </c>
      <c r="H22">
        <v>102</v>
      </c>
      <c r="I22" t="s">
        <v>100</v>
      </c>
      <c r="J22">
        <v>9.3393001556396484</v>
      </c>
      <c r="K22">
        <v>-82.460800170898438</v>
      </c>
      <c r="L22">
        <v>98310</v>
      </c>
      <c r="M22">
        <v>10208</v>
      </c>
      <c r="N22" t="s">
        <v>106</v>
      </c>
      <c r="O22">
        <v>9.2639398574829102</v>
      </c>
      <c r="P22">
        <v>-82.559799194335938</v>
      </c>
      <c r="Q22">
        <v>1812</v>
      </c>
    </row>
    <row r="23" spans="1:17" x14ac:dyDescent="0.25">
      <c r="A23">
        <v>12</v>
      </c>
      <c r="B23" t="str">
        <f t="shared" si="0"/>
        <v>La Gloria</v>
      </c>
      <c r="C23">
        <v>1</v>
      </c>
      <c r="D23" t="s">
        <v>92</v>
      </c>
      <c r="E23">
        <v>9.2170095443725586</v>
      </c>
      <c r="F23">
        <v>-82.584602355957031</v>
      </c>
      <c r="G23">
        <v>125461</v>
      </c>
      <c r="H23">
        <v>102</v>
      </c>
      <c r="I23" t="s">
        <v>100</v>
      </c>
      <c r="J23">
        <v>9.3393001556396484</v>
      </c>
      <c r="K23">
        <v>-82.460800170898438</v>
      </c>
      <c r="L23">
        <v>98310</v>
      </c>
      <c r="M23">
        <v>10209</v>
      </c>
      <c r="N23" t="s">
        <v>107</v>
      </c>
      <c r="O23">
        <v>9.3837003707885742</v>
      </c>
      <c r="P23">
        <v>-82.440200805664063</v>
      </c>
      <c r="Q23">
        <v>3046</v>
      </c>
    </row>
    <row r="24" spans="1:17" x14ac:dyDescent="0.25">
      <c r="A24">
        <v>13</v>
      </c>
      <c r="B24" t="str">
        <f t="shared" si="0"/>
        <v>Las Delicias</v>
      </c>
      <c r="C24">
        <v>1</v>
      </c>
      <c r="D24" t="s">
        <v>92</v>
      </c>
      <c r="E24">
        <v>9.2170095443725586</v>
      </c>
      <c r="F24">
        <v>-82.584602355957031</v>
      </c>
      <c r="G24">
        <v>125461</v>
      </c>
      <c r="H24">
        <v>102</v>
      </c>
      <c r="I24" t="s">
        <v>100</v>
      </c>
      <c r="J24">
        <v>9.3393001556396484</v>
      </c>
      <c r="K24">
        <v>-82.460800170898438</v>
      </c>
      <c r="L24">
        <v>98310</v>
      </c>
      <c r="M24">
        <v>10210</v>
      </c>
      <c r="N24" t="s">
        <v>108</v>
      </c>
      <c r="O24">
        <v>9.4179201126098633</v>
      </c>
      <c r="P24">
        <v>-82.853500366210938</v>
      </c>
      <c r="Q24">
        <v>1484</v>
      </c>
    </row>
    <row r="25" spans="1:17" x14ac:dyDescent="0.25">
      <c r="A25">
        <v>14</v>
      </c>
      <c r="B25" t="str">
        <f t="shared" si="0"/>
        <v>Chiriquí Grande (Cabecera)</v>
      </c>
      <c r="C25">
        <v>1</v>
      </c>
      <c r="D25" t="s">
        <v>92</v>
      </c>
      <c r="E25">
        <v>9.2170095443725586</v>
      </c>
      <c r="F25">
        <v>-82.584602355957031</v>
      </c>
      <c r="G25">
        <v>125461</v>
      </c>
      <c r="H25">
        <v>103</v>
      </c>
      <c r="I25" t="s">
        <v>109</v>
      </c>
      <c r="J25">
        <v>8.9838895797729492</v>
      </c>
      <c r="K25">
        <v>-82.202201843261719</v>
      </c>
      <c r="L25">
        <v>11016</v>
      </c>
      <c r="M25">
        <v>10301</v>
      </c>
      <c r="N25" t="s">
        <v>110</v>
      </c>
      <c r="O25">
        <v>8.9332103729248047</v>
      </c>
      <c r="P25">
        <v>-82.116203308105469</v>
      </c>
      <c r="Q25">
        <v>3014</v>
      </c>
    </row>
    <row r="26" spans="1:17" x14ac:dyDescent="0.25">
      <c r="A26">
        <v>15</v>
      </c>
      <c r="B26" t="str">
        <f t="shared" si="0"/>
        <v>Miramar</v>
      </c>
      <c r="C26">
        <v>1</v>
      </c>
      <c r="D26" t="s">
        <v>92</v>
      </c>
      <c r="E26">
        <v>9.2170095443725586</v>
      </c>
      <c r="F26">
        <v>-82.584602355957031</v>
      </c>
      <c r="G26">
        <v>125461</v>
      </c>
      <c r="H26">
        <v>103</v>
      </c>
      <c r="I26" t="s">
        <v>109</v>
      </c>
      <c r="J26">
        <v>8.9838895797729492</v>
      </c>
      <c r="K26">
        <v>-82.202201843261719</v>
      </c>
      <c r="L26">
        <v>11016</v>
      </c>
      <c r="M26">
        <v>10302</v>
      </c>
      <c r="N26" t="s">
        <v>111</v>
      </c>
      <c r="O26">
        <v>8.9854602813720703</v>
      </c>
      <c r="P26">
        <v>-82.220298767089844</v>
      </c>
      <c r="Q26">
        <v>1232</v>
      </c>
    </row>
    <row r="27" spans="1:17" x14ac:dyDescent="0.25">
      <c r="A27">
        <v>16</v>
      </c>
      <c r="B27" t="str">
        <f t="shared" si="0"/>
        <v>Punta Peña</v>
      </c>
      <c r="C27">
        <v>1</v>
      </c>
      <c r="D27" t="s">
        <v>92</v>
      </c>
      <c r="E27">
        <v>9.2170095443725586</v>
      </c>
      <c r="F27">
        <v>-82.584602355957031</v>
      </c>
      <c r="G27">
        <v>125461</v>
      </c>
      <c r="H27">
        <v>103</v>
      </c>
      <c r="I27" t="s">
        <v>109</v>
      </c>
      <c r="J27">
        <v>8.9838895797729492</v>
      </c>
      <c r="K27">
        <v>-82.202201843261719</v>
      </c>
      <c r="L27">
        <v>11016</v>
      </c>
      <c r="M27">
        <v>10303</v>
      </c>
      <c r="N27" t="s">
        <v>112</v>
      </c>
      <c r="O27">
        <v>8.890629768371582</v>
      </c>
      <c r="P27">
        <v>-82.175300598144531</v>
      </c>
      <c r="Q27">
        <v>2520</v>
      </c>
    </row>
    <row r="28" spans="1:17" x14ac:dyDescent="0.25">
      <c r="A28">
        <v>17</v>
      </c>
      <c r="B28" t="str">
        <f t="shared" si="0"/>
        <v>Punta Róbalo</v>
      </c>
      <c r="C28">
        <v>1</v>
      </c>
      <c r="D28" t="s">
        <v>92</v>
      </c>
      <c r="E28">
        <v>9.2170095443725586</v>
      </c>
      <c r="F28">
        <v>-82.584602355957031</v>
      </c>
      <c r="G28">
        <v>125461</v>
      </c>
      <c r="H28">
        <v>103</v>
      </c>
      <c r="I28" t="s">
        <v>109</v>
      </c>
      <c r="J28">
        <v>8.9838895797729492</v>
      </c>
      <c r="K28">
        <v>-82.202201843261719</v>
      </c>
      <c r="L28">
        <v>11016</v>
      </c>
      <c r="M28">
        <v>10304</v>
      </c>
      <c r="N28" t="s">
        <v>113</v>
      </c>
      <c r="O28">
        <v>9.0424003601074219</v>
      </c>
      <c r="P28">
        <v>-82.278396606445313</v>
      </c>
      <c r="Q28">
        <v>1164</v>
      </c>
    </row>
    <row r="29" spans="1:17" x14ac:dyDescent="0.25">
      <c r="A29">
        <v>18</v>
      </c>
      <c r="B29" t="str">
        <f t="shared" si="0"/>
        <v>Rambala</v>
      </c>
      <c r="C29">
        <v>1</v>
      </c>
      <c r="D29" t="s">
        <v>92</v>
      </c>
      <c r="E29">
        <v>9.2170095443725586</v>
      </c>
      <c r="F29">
        <v>-82.584602355957031</v>
      </c>
      <c r="G29">
        <v>125461</v>
      </c>
      <c r="H29">
        <v>103</v>
      </c>
      <c r="I29" t="s">
        <v>109</v>
      </c>
      <c r="J29">
        <v>8.9838895797729492</v>
      </c>
      <c r="K29">
        <v>-82.202201843261719</v>
      </c>
      <c r="L29">
        <v>11016</v>
      </c>
      <c r="M29">
        <v>10305</v>
      </c>
      <c r="N29" t="s">
        <v>114</v>
      </c>
      <c r="O29">
        <v>8.9483699798583984</v>
      </c>
      <c r="P29">
        <v>-82.178802490234375</v>
      </c>
      <c r="Q29">
        <v>1682</v>
      </c>
    </row>
    <row r="30" spans="1:17" x14ac:dyDescent="0.25">
      <c r="A30">
        <v>19</v>
      </c>
      <c r="B30" t="str">
        <f t="shared" si="0"/>
        <v>Bajo Cedro</v>
      </c>
      <c r="C30">
        <v>1</v>
      </c>
      <c r="D30" t="s">
        <v>92</v>
      </c>
      <c r="E30">
        <v>9.2170095443725586</v>
      </c>
      <c r="F30">
        <v>-82.584602355957031</v>
      </c>
      <c r="G30">
        <v>125461</v>
      </c>
      <c r="H30">
        <v>103</v>
      </c>
      <c r="I30" t="s">
        <v>109</v>
      </c>
      <c r="J30">
        <v>8.9838895797729492</v>
      </c>
      <c r="K30">
        <v>-82.202201843261719</v>
      </c>
      <c r="L30">
        <v>11016</v>
      </c>
      <c r="M30">
        <v>10306</v>
      </c>
      <c r="N30" t="s">
        <v>115</v>
      </c>
      <c r="O30">
        <v>9.1191902160644531</v>
      </c>
      <c r="P30">
        <v>-82.300003051757813</v>
      </c>
      <c r="Q30">
        <v>1404</v>
      </c>
    </row>
    <row r="31" spans="1:17" x14ac:dyDescent="0.25">
      <c r="A31">
        <v>20</v>
      </c>
      <c r="B31" t="str">
        <f t="shared" si="0"/>
        <v>Aguadulce (Cabecera)</v>
      </c>
      <c r="C31">
        <v>2</v>
      </c>
      <c r="D31" t="s">
        <v>116</v>
      </c>
      <c r="E31">
        <v>8.5502901077270508</v>
      </c>
      <c r="F31">
        <v>-80.429603576660156</v>
      </c>
      <c r="G31">
        <v>233708</v>
      </c>
      <c r="H31">
        <v>201</v>
      </c>
      <c r="I31" t="s">
        <v>117</v>
      </c>
      <c r="J31">
        <v>8.208470344543457</v>
      </c>
      <c r="K31">
        <v>-80.604202270507813</v>
      </c>
      <c r="L31">
        <v>43360</v>
      </c>
      <c r="M31">
        <v>20101</v>
      </c>
      <c r="N31" t="s">
        <v>118</v>
      </c>
      <c r="O31">
        <v>8.228480339050293</v>
      </c>
      <c r="P31">
        <v>-80.555999755859375</v>
      </c>
      <c r="Q31">
        <v>8703</v>
      </c>
    </row>
    <row r="32" spans="1:17" x14ac:dyDescent="0.25">
      <c r="A32">
        <v>21</v>
      </c>
      <c r="B32" t="str">
        <f t="shared" si="0"/>
        <v>El Cristo</v>
      </c>
      <c r="C32">
        <v>2</v>
      </c>
      <c r="D32" t="s">
        <v>116</v>
      </c>
      <c r="E32">
        <v>8.5502901077270508</v>
      </c>
      <c r="F32">
        <v>-80.429603576660156</v>
      </c>
      <c r="G32">
        <v>233708</v>
      </c>
      <c r="H32">
        <v>201</v>
      </c>
      <c r="I32" t="s">
        <v>117</v>
      </c>
      <c r="J32">
        <v>8.208470344543457</v>
      </c>
      <c r="K32">
        <v>-80.604202270507813</v>
      </c>
      <c r="L32">
        <v>43360</v>
      </c>
      <c r="M32">
        <v>20102</v>
      </c>
      <c r="N32" t="s">
        <v>119</v>
      </c>
      <c r="O32">
        <v>8.2564401626586914</v>
      </c>
      <c r="P32">
        <v>-80.627799987792969</v>
      </c>
      <c r="Q32">
        <v>4017</v>
      </c>
    </row>
    <row r="33" spans="1:17" x14ac:dyDescent="0.25">
      <c r="A33">
        <v>22</v>
      </c>
      <c r="B33" t="str">
        <f t="shared" si="0"/>
        <v>El Roble</v>
      </c>
      <c r="C33">
        <v>2</v>
      </c>
      <c r="D33" t="s">
        <v>116</v>
      </c>
      <c r="E33">
        <v>8.5502901077270508</v>
      </c>
      <c r="F33">
        <v>-80.429603576660156</v>
      </c>
      <c r="G33">
        <v>233708</v>
      </c>
      <c r="H33">
        <v>201</v>
      </c>
      <c r="I33" t="s">
        <v>117</v>
      </c>
      <c r="J33">
        <v>8.208470344543457</v>
      </c>
      <c r="K33">
        <v>-80.604202270507813</v>
      </c>
      <c r="L33">
        <v>43360</v>
      </c>
      <c r="M33">
        <v>20103</v>
      </c>
      <c r="N33" t="s">
        <v>120</v>
      </c>
      <c r="O33">
        <v>8.1534299850463867</v>
      </c>
      <c r="P33">
        <v>-80.5697021484375</v>
      </c>
      <c r="Q33">
        <v>8369</v>
      </c>
    </row>
    <row r="34" spans="1:17" x14ac:dyDescent="0.25">
      <c r="A34">
        <v>23</v>
      </c>
      <c r="B34" t="str">
        <f t="shared" si="0"/>
        <v>Pocrí</v>
      </c>
      <c r="C34">
        <v>2</v>
      </c>
      <c r="D34" t="s">
        <v>116</v>
      </c>
      <c r="E34">
        <v>8.5502901077270508</v>
      </c>
      <c r="F34">
        <v>-80.429603576660156</v>
      </c>
      <c r="G34">
        <v>233708</v>
      </c>
      <c r="H34">
        <v>201</v>
      </c>
      <c r="I34" t="s">
        <v>117</v>
      </c>
      <c r="J34">
        <v>8.208470344543457</v>
      </c>
      <c r="K34">
        <v>-80.604202270507813</v>
      </c>
      <c r="L34">
        <v>43360</v>
      </c>
      <c r="M34">
        <v>20104</v>
      </c>
      <c r="N34" t="s">
        <v>121</v>
      </c>
      <c r="O34">
        <v>8.261500358581543</v>
      </c>
      <c r="P34">
        <v>-80.54119873046875</v>
      </c>
      <c r="Q34">
        <v>12881</v>
      </c>
    </row>
    <row r="35" spans="1:17" x14ac:dyDescent="0.25">
      <c r="A35">
        <v>24</v>
      </c>
      <c r="B35" t="str">
        <f t="shared" si="0"/>
        <v>Barrios Unidos</v>
      </c>
      <c r="C35">
        <v>2</v>
      </c>
      <c r="D35" t="s">
        <v>116</v>
      </c>
      <c r="E35">
        <v>8.5502901077270508</v>
      </c>
      <c r="F35">
        <v>-80.429603576660156</v>
      </c>
      <c r="G35">
        <v>233708</v>
      </c>
      <c r="H35">
        <v>201</v>
      </c>
      <c r="I35" t="s">
        <v>117</v>
      </c>
      <c r="J35">
        <v>8.208470344543457</v>
      </c>
      <c r="K35">
        <v>-80.604202270507813</v>
      </c>
      <c r="L35">
        <v>43360</v>
      </c>
      <c r="M35">
        <v>20105</v>
      </c>
      <c r="N35" t="s">
        <v>122</v>
      </c>
      <c r="O35">
        <v>8.2070999145507813</v>
      </c>
      <c r="P35">
        <v>-80.521697998046875</v>
      </c>
      <c r="Q35">
        <v>9390</v>
      </c>
    </row>
    <row r="36" spans="1:17" x14ac:dyDescent="0.25">
      <c r="A36">
        <v>25</v>
      </c>
      <c r="B36" t="str">
        <f t="shared" si="0"/>
        <v>Antón (Cabecera)</v>
      </c>
      <c r="C36">
        <v>2</v>
      </c>
      <c r="D36" t="s">
        <v>116</v>
      </c>
      <c r="E36">
        <v>8.5502901077270508</v>
      </c>
      <c r="F36">
        <v>-80.429603576660156</v>
      </c>
      <c r="G36">
        <v>233708</v>
      </c>
      <c r="H36">
        <v>202</v>
      </c>
      <c r="I36" t="s">
        <v>123</v>
      </c>
      <c r="J36">
        <v>8.4476499557495117</v>
      </c>
      <c r="K36">
        <v>-80.203399658203125</v>
      </c>
      <c r="L36">
        <v>54632</v>
      </c>
      <c r="M36">
        <v>20201</v>
      </c>
      <c r="N36" t="s">
        <v>124</v>
      </c>
      <c r="O36">
        <v>8.3821001052856445</v>
      </c>
      <c r="P36">
        <v>-80.278099060058594</v>
      </c>
      <c r="Q36">
        <v>9790</v>
      </c>
    </row>
    <row r="37" spans="1:17" x14ac:dyDescent="0.25">
      <c r="A37">
        <v>26</v>
      </c>
      <c r="B37" t="str">
        <f t="shared" si="0"/>
        <v>Cabuya</v>
      </c>
      <c r="C37">
        <v>2</v>
      </c>
      <c r="D37" t="s">
        <v>116</v>
      </c>
      <c r="E37">
        <v>8.5502901077270508</v>
      </c>
      <c r="F37">
        <v>-80.429603576660156</v>
      </c>
      <c r="G37">
        <v>233708</v>
      </c>
      <c r="H37">
        <v>202</v>
      </c>
      <c r="I37" t="s">
        <v>123</v>
      </c>
      <c r="J37">
        <v>8.4476499557495117</v>
      </c>
      <c r="K37">
        <v>-80.203399658203125</v>
      </c>
      <c r="L37">
        <v>54632</v>
      </c>
      <c r="M37">
        <v>20202</v>
      </c>
      <c r="N37" t="s">
        <v>125</v>
      </c>
      <c r="O37">
        <v>8.5438604354858398</v>
      </c>
      <c r="P37">
        <v>-80.137298583984375</v>
      </c>
      <c r="Q37">
        <v>2119</v>
      </c>
    </row>
    <row r="38" spans="1:17" x14ac:dyDescent="0.25">
      <c r="A38">
        <v>27</v>
      </c>
      <c r="B38" t="str">
        <f t="shared" si="0"/>
        <v>El Chirú</v>
      </c>
      <c r="C38">
        <v>2</v>
      </c>
      <c r="D38" t="s">
        <v>116</v>
      </c>
      <c r="E38">
        <v>8.5502901077270508</v>
      </c>
      <c r="F38">
        <v>-80.429603576660156</v>
      </c>
      <c r="G38">
        <v>233708</v>
      </c>
      <c r="H38">
        <v>202</v>
      </c>
      <c r="I38" t="s">
        <v>123</v>
      </c>
      <c r="J38">
        <v>8.4476499557495117</v>
      </c>
      <c r="K38">
        <v>-80.203399658203125</v>
      </c>
      <c r="L38">
        <v>54632</v>
      </c>
      <c r="M38">
        <v>20203</v>
      </c>
      <c r="N38" t="s">
        <v>126</v>
      </c>
      <c r="O38">
        <v>8.3665800094604492</v>
      </c>
      <c r="P38">
        <v>-80.219001770019531</v>
      </c>
      <c r="Q38">
        <v>3623</v>
      </c>
    </row>
    <row r="39" spans="1:17" x14ac:dyDescent="0.25">
      <c r="A39">
        <v>28</v>
      </c>
      <c r="B39" t="str">
        <f t="shared" si="0"/>
        <v>El Retiro</v>
      </c>
      <c r="C39">
        <v>2</v>
      </c>
      <c r="D39" t="s">
        <v>116</v>
      </c>
      <c r="E39">
        <v>8.5502901077270508</v>
      </c>
      <c r="F39">
        <v>-80.429603576660156</v>
      </c>
      <c r="G39">
        <v>233708</v>
      </c>
      <c r="H39">
        <v>202</v>
      </c>
      <c r="I39" t="s">
        <v>123</v>
      </c>
      <c r="J39">
        <v>8.4476499557495117</v>
      </c>
      <c r="K39">
        <v>-80.203399658203125</v>
      </c>
      <c r="L39">
        <v>54632</v>
      </c>
      <c r="M39">
        <v>20204</v>
      </c>
      <c r="N39" t="s">
        <v>127</v>
      </c>
      <c r="O39">
        <v>8.4470300674438477</v>
      </c>
      <c r="P39">
        <v>-80.175697326660156</v>
      </c>
      <c r="Q39">
        <v>2303</v>
      </c>
    </row>
    <row r="40" spans="1:17" x14ac:dyDescent="0.25">
      <c r="A40">
        <v>29</v>
      </c>
      <c r="B40" t="str">
        <f t="shared" si="0"/>
        <v>El Valle</v>
      </c>
      <c r="C40">
        <v>2</v>
      </c>
      <c r="D40" t="s">
        <v>116</v>
      </c>
      <c r="E40">
        <v>8.5502901077270508</v>
      </c>
      <c r="F40">
        <v>-80.429603576660156</v>
      </c>
      <c r="G40">
        <v>233708</v>
      </c>
      <c r="H40">
        <v>202</v>
      </c>
      <c r="I40" t="s">
        <v>123</v>
      </c>
      <c r="J40">
        <v>8.4476499557495117</v>
      </c>
      <c r="K40">
        <v>-80.203399658203125</v>
      </c>
      <c r="L40">
        <v>54632</v>
      </c>
      <c r="M40">
        <v>20205</v>
      </c>
      <c r="N40" t="s">
        <v>128</v>
      </c>
      <c r="O40">
        <v>8.6173000335693359</v>
      </c>
      <c r="P40">
        <v>-80.129302978515625</v>
      </c>
      <c r="Q40">
        <v>7602</v>
      </c>
    </row>
    <row r="41" spans="1:17" x14ac:dyDescent="0.25">
      <c r="A41">
        <v>30</v>
      </c>
      <c r="B41" t="str">
        <f t="shared" si="0"/>
        <v>Juan Díaz</v>
      </c>
      <c r="C41">
        <v>2</v>
      </c>
      <c r="D41" t="s">
        <v>116</v>
      </c>
      <c r="E41">
        <v>8.5502901077270508</v>
      </c>
      <c r="F41">
        <v>-80.429603576660156</v>
      </c>
      <c r="G41">
        <v>233708</v>
      </c>
      <c r="H41">
        <v>202</v>
      </c>
      <c r="I41" t="s">
        <v>123</v>
      </c>
      <c r="J41">
        <v>8.4476499557495117</v>
      </c>
      <c r="K41">
        <v>-80.203399658203125</v>
      </c>
      <c r="L41">
        <v>54632</v>
      </c>
      <c r="M41">
        <v>20206</v>
      </c>
      <c r="N41" t="s">
        <v>129</v>
      </c>
      <c r="O41">
        <v>8.4045696258544922</v>
      </c>
      <c r="P41">
        <v>-80.312599182128906</v>
      </c>
      <c r="Q41">
        <v>2634</v>
      </c>
    </row>
    <row r="42" spans="1:17" x14ac:dyDescent="0.25">
      <c r="A42">
        <v>31</v>
      </c>
      <c r="B42" t="str">
        <f t="shared" si="0"/>
        <v>Río Hato</v>
      </c>
      <c r="C42">
        <v>2</v>
      </c>
      <c r="D42" t="s">
        <v>116</v>
      </c>
      <c r="E42">
        <v>8.5502901077270508</v>
      </c>
      <c r="F42">
        <v>-80.429603576660156</v>
      </c>
      <c r="G42">
        <v>233708</v>
      </c>
      <c r="H42">
        <v>202</v>
      </c>
      <c r="I42" t="s">
        <v>123</v>
      </c>
      <c r="J42">
        <v>8.4476499557495117</v>
      </c>
      <c r="K42">
        <v>-80.203399658203125</v>
      </c>
      <c r="L42">
        <v>54632</v>
      </c>
      <c r="M42">
        <v>20207</v>
      </c>
      <c r="N42" t="s">
        <v>130</v>
      </c>
      <c r="O42">
        <v>8.4235696792602539</v>
      </c>
      <c r="P42">
        <v>-80.117500305175781</v>
      </c>
      <c r="Q42">
        <v>15701</v>
      </c>
    </row>
    <row r="43" spans="1:17" x14ac:dyDescent="0.25">
      <c r="A43">
        <v>32</v>
      </c>
      <c r="B43" t="str">
        <f t="shared" si="0"/>
        <v>San Juan de Dios</v>
      </c>
      <c r="C43">
        <v>2</v>
      </c>
      <c r="D43" t="s">
        <v>116</v>
      </c>
      <c r="E43">
        <v>8.5502901077270508</v>
      </c>
      <c r="F43">
        <v>-80.429603576660156</v>
      </c>
      <c r="G43">
        <v>233708</v>
      </c>
      <c r="H43">
        <v>202</v>
      </c>
      <c r="I43" t="s">
        <v>123</v>
      </c>
      <c r="J43">
        <v>8.4476499557495117</v>
      </c>
      <c r="K43">
        <v>-80.203399658203125</v>
      </c>
      <c r="L43">
        <v>54632</v>
      </c>
      <c r="M43">
        <v>20208</v>
      </c>
      <c r="N43" t="s">
        <v>131</v>
      </c>
      <c r="O43">
        <v>8.5443096160888672</v>
      </c>
      <c r="P43">
        <v>-80.23480224609375</v>
      </c>
      <c r="Q43">
        <v>4797</v>
      </c>
    </row>
    <row r="44" spans="1:17" x14ac:dyDescent="0.25">
      <c r="A44">
        <v>33</v>
      </c>
      <c r="B44" t="str">
        <f t="shared" si="0"/>
        <v>Santa Rita</v>
      </c>
      <c r="C44">
        <v>2</v>
      </c>
      <c r="D44" t="s">
        <v>116</v>
      </c>
      <c r="E44">
        <v>8.5502901077270508</v>
      </c>
      <c r="F44">
        <v>-80.429603576660156</v>
      </c>
      <c r="G44">
        <v>233708</v>
      </c>
      <c r="H44">
        <v>202</v>
      </c>
      <c r="I44" t="s">
        <v>123</v>
      </c>
      <c r="J44">
        <v>8.4476499557495117</v>
      </c>
      <c r="K44">
        <v>-80.203399658203125</v>
      </c>
      <c r="L44">
        <v>54632</v>
      </c>
      <c r="M44">
        <v>20209</v>
      </c>
      <c r="N44" t="s">
        <v>132</v>
      </c>
      <c r="O44">
        <v>8.4932699203491211</v>
      </c>
      <c r="P44">
        <v>-80.193603515625</v>
      </c>
      <c r="Q44">
        <v>2562</v>
      </c>
    </row>
    <row r="45" spans="1:17" x14ac:dyDescent="0.25">
      <c r="A45">
        <v>34</v>
      </c>
      <c r="B45" t="str">
        <f t="shared" si="0"/>
        <v>Caballero</v>
      </c>
      <c r="C45">
        <v>2</v>
      </c>
      <c r="D45" t="s">
        <v>116</v>
      </c>
      <c r="E45">
        <v>8.5502901077270508</v>
      </c>
      <c r="F45">
        <v>-80.429603576660156</v>
      </c>
      <c r="G45">
        <v>233708</v>
      </c>
      <c r="H45">
        <v>202</v>
      </c>
      <c r="I45" t="s">
        <v>123</v>
      </c>
      <c r="J45">
        <v>8.4476499557495117</v>
      </c>
      <c r="K45">
        <v>-80.203399658203125</v>
      </c>
      <c r="L45">
        <v>54632</v>
      </c>
      <c r="M45">
        <v>20210</v>
      </c>
      <c r="N45" t="s">
        <v>133</v>
      </c>
      <c r="O45">
        <v>8.5330896377563477</v>
      </c>
      <c r="P45">
        <v>-80.203598022460938</v>
      </c>
      <c r="Q45">
        <v>3501</v>
      </c>
    </row>
    <row r="46" spans="1:17" x14ac:dyDescent="0.25">
      <c r="A46">
        <v>35</v>
      </c>
      <c r="B46" t="str">
        <f t="shared" si="0"/>
        <v>La Pintada (Cabecera)</v>
      </c>
      <c r="C46">
        <v>2</v>
      </c>
      <c r="D46" t="s">
        <v>116</v>
      </c>
      <c r="E46">
        <v>8.5502901077270508</v>
      </c>
      <c r="F46">
        <v>-80.429603576660156</v>
      </c>
      <c r="G46">
        <v>233708</v>
      </c>
      <c r="H46">
        <v>203</v>
      </c>
      <c r="I46" t="s">
        <v>134</v>
      </c>
      <c r="J46">
        <v>8.700169563293457</v>
      </c>
      <c r="K46">
        <v>-80.53399658203125</v>
      </c>
      <c r="L46">
        <v>25639</v>
      </c>
      <c r="M46">
        <v>20301</v>
      </c>
      <c r="N46" t="s">
        <v>135</v>
      </c>
      <c r="O46">
        <v>8.5803499221801758</v>
      </c>
      <c r="P46">
        <v>-80.455299377441406</v>
      </c>
      <c r="Q46">
        <v>3882</v>
      </c>
    </row>
    <row r="47" spans="1:17" x14ac:dyDescent="0.25">
      <c r="A47">
        <v>36</v>
      </c>
      <c r="B47" t="str">
        <f t="shared" si="0"/>
        <v>El Harino</v>
      </c>
      <c r="C47">
        <v>2</v>
      </c>
      <c r="D47" t="s">
        <v>116</v>
      </c>
      <c r="E47">
        <v>8.5502901077270508</v>
      </c>
      <c r="F47">
        <v>-80.429603576660156</v>
      </c>
      <c r="G47">
        <v>233708</v>
      </c>
      <c r="H47">
        <v>203</v>
      </c>
      <c r="I47" t="s">
        <v>134</v>
      </c>
      <c r="J47">
        <v>8.700169563293457</v>
      </c>
      <c r="K47">
        <v>-80.53399658203125</v>
      </c>
      <c r="L47">
        <v>25639</v>
      </c>
      <c r="M47">
        <v>20302</v>
      </c>
      <c r="N47" t="s">
        <v>136</v>
      </c>
      <c r="O47">
        <v>8.6912498474121094</v>
      </c>
      <c r="P47">
        <v>-80.620796203613281</v>
      </c>
      <c r="Q47">
        <v>5455</v>
      </c>
    </row>
    <row r="48" spans="1:17" x14ac:dyDescent="0.25">
      <c r="A48">
        <v>37</v>
      </c>
      <c r="B48" t="str">
        <f t="shared" si="0"/>
        <v>El Potrero</v>
      </c>
      <c r="C48">
        <v>2</v>
      </c>
      <c r="D48" t="s">
        <v>116</v>
      </c>
      <c r="E48">
        <v>8.5502901077270508</v>
      </c>
      <c r="F48">
        <v>-80.429603576660156</v>
      </c>
      <c r="G48">
        <v>233708</v>
      </c>
      <c r="H48">
        <v>203</v>
      </c>
      <c r="I48" t="s">
        <v>134</v>
      </c>
      <c r="J48">
        <v>8.700169563293457</v>
      </c>
      <c r="K48">
        <v>-80.53399658203125</v>
      </c>
      <c r="L48">
        <v>25639</v>
      </c>
      <c r="M48">
        <v>20303</v>
      </c>
      <c r="N48" t="s">
        <v>137</v>
      </c>
      <c r="O48">
        <v>8.5453596115112305</v>
      </c>
      <c r="P48">
        <v>-80.514701843261719</v>
      </c>
      <c r="Q48">
        <v>3165</v>
      </c>
    </row>
    <row r="49" spans="1:17" x14ac:dyDescent="0.25">
      <c r="A49">
        <v>38</v>
      </c>
      <c r="B49" t="str">
        <f t="shared" si="0"/>
        <v>Llano Grande</v>
      </c>
      <c r="C49">
        <v>2</v>
      </c>
      <c r="D49" t="s">
        <v>116</v>
      </c>
      <c r="E49">
        <v>8.5502901077270508</v>
      </c>
      <c r="F49">
        <v>-80.429603576660156</v>
      </c>
      <c r="G49">
        <v>233708</v>
      </c>
      <c r="H49">
        <v>203</v>
      </c>
      <c r="I49" t="s">
        <v>134</v>
      </c>
      <c r="J49">
        <v>8.700169563293457</v>
      </c>
      <c r="K49">
        <v>-80.53399658203125</v>
      </c>
      <c r="L49">
        <v>25639</v>
      </c>
      <c r="M49">
        <v>20304</v>
      </c>
      <c r="N49" t="s">
        <v>138</v>
      </c>
      <c r="O49">
        <v>8.6641502380371094</v>
      </c>
      <c r="P49">
        <v>-80.439697265625</v>
      </c>
      <c r="Q49">
        <v>6901</v>
      </c>
    </row>
    <row r="50" spans="1:17" x14ac:dyDescent="0.25">
      <c r="A50">
        <v>39</v>
      </c>
      <c r="B50" t="str">
        <f t="shared" si="0"/>
        <v>Piedras Gordas</v>
      </c>
      <c r="C50">
        <v>2</v>
      </c>
      <c r="D50" t="s">
        <v>116</v>
      </c>
      <c r="E50">
        <v>8.5502901077270508</v>
      </c>
      <c r="F50">
        <v>-80.429603576660156</v>
      </c>
      <c r="G50">
        <v>233708</v>
      </c>
      <c r="H50">
        <v>203</v>
      </c>
      <c r="I50" t="s">
        <v>134</v>
      </c>
      <c r="J50">
        <v>8.700169563293457</v>
      </c>
      <c r="K50">
        <v>-80.53399658203125</v>
      </c>
      <c r="L50">
        <v>25639</v>
      </c>
      <c r="M50">
        <v>20305</v>
      </c>
      <c r="N50" t="s">
        <v>139</v>
      </c>
      <c r="O50">
        <v>8.6909599304199219</v>
      </c>
      <c r="P50">
        <v>-80.532402038574219</v>
      </c>
      <c r="Q50">
        <v>4164</v>
      </c>
    </row>
    <row r="51" spans="1:17" x14ac:dyDescent="0.25">
      <c r="A51">
        <v>40</v>
      </c>
      <c r="B51" t="str">
        <f t="shared" si="0"/>
        <v>Las Lomas</v>
      </c>
      <c r="C51">
        <v>2</v>
      </c>
      <c r="D51" t="s">
        <v>116</v>
      </c>
      <c r="E51">
        <v>8.5502901077270508</v>
      </c>
      <c r="F51">
        <v>-80.429603576660156</v>
      </c>
      <c r="G51">
        <v>233708</v>
      </c>
      <c r="H51">
        <v>203</v>
      </c>
      <c r="I51" t="s">
        <v>134</v>
      </c>
      <c r="J51">
        <v>8.700169563293457</v>
      </c>
      <c r="K51">
        <v>-80.53399658203125</v>
      </c>
      <c r="L51">
        <v>25639</v>
      </c>
      <c r="M51">
        <v>20306</v>
      </c>
      <c r="N51" t="s">
        <v>140</v>
      </c>
      <c r="O51">
        <v>8.613800048828125</v>
      </c>
      <c r="P51">
        <v>-80.651397705078125</v>
      </c>
      <c r="Q51">
        <v>2072</v>
      </c>
    </row>
    <row r="52" spans="1:17" x14ac:dyDescent="0.25">
      <c r="A52">
        <v>41</v>
      </c>
      <c r="B52" t="str">
        <f t="shared" si="0"/>
        <v>Natá (Cabecera)</v>
      </c>
      <c r="C52">
        <v>2</v>
      </c>
      <c r="D52" t="s">
        <v>116</v>
      </c>
      <c r="E52">
        <v>8.5502901077270508</v>
      </c>
      <c r="F52">
        <v>-80.429603576660156</v>
      </c>
      <c r="G52">
        <v>233708</v>
      </c>
      <c r="H52">
        <v>204</v>
      </c>
      <c r="I52" t="s">
        <v>141</v>
      </c>
      <c r="J52">
        <v>8.3922796249389648</v>
      </c>
      <c r="K52">
        <v>-80.584602355957031</v>
      </c>
      <c r="L52">
        <v>18465</v>
      </c>
      <c r="M52">
        <v>20401</v>
      </c>
      <c r="N52" t="s">
        <v>142</v>
      </c>
      <c r="O52">
        <v>8.3145303726196289</v>
      </c>
      <c r="P52">
        <v>-80.4801025390625</v>
      </c>
      <c r="Q52">
        <v>6003</v>
      </c>
    </row>
    <row r="53" spans="1:17" x14ac:dyDescent="0.25">
      <c r="A53">
        <v>42</v>
      </c>
      <c r="B53" t="str">
        <f t="shared" si="0"/>
        <v>Capellanía</v>
      </c>
      <c r="C53">
        <v>2</v>
      </c>
      <c r="D53" t="s">
        <v>116</v>
      </c>
      <c r="E53">
        <v>8.5502901077270508</v>
      </c>
      <c r="F53">
        <v>-80.429603576660156</v>
      </c>
      <c r="G53">
        <v>233708</v>
      </c>
      <c r="H53">
        <v>204</v>
      </c>
      <c r="I53" t="s">
        <v>141</v>
      </c>
      <c r="J53">
        <v>8.3922796249389648</v>
      </c>
      <c r="K53">
        <v>-80.584602355957031</v>
      </c>
      <c r="L53">
        <v>18465</v>
      </c>
      <c r="M53">
        <v>20402</v>
      </c>
      <c r="N53" t="s">
        <v>143</v>
      </c>
      <c r="O53">
        <v>8.295989990234375</v>
      </c>
      <c r="P53">
        <v>-80.549896240234375</v>
      </c>
      <c r="Q53">
        <v>4512</v>
      </c>
    </row>
    <row r="54" spans="1:17" x14ac:dyDescent="0.25">
      <c r="A54">
        <v>43</v>
      </c>
      <c r="B54" t="str">
        <f t="shared" si="0"/>
        <v>El Caño</v>
      </c>
      <c r="C54">
        <v>2</v>
      </c>
      <c r="D54" t="s">
        <v>116</v>
      </c>
      <c r="E54">
        <v>8.5502901077270508</v>
      </c>
      <c r="F54">
        <v>-80.429603576660156</v>
      </c>
      <c r="G54">
        <v>233708</v>
      </c>
      <c r="H54">
        <v>204</v>
      </c>
      <c r="I54" t="s">
        <v>141</v>
      </c>
      <c r="J54">
        <v>8.3922796249389648</v>
      </c>
      <c r="K54">
        <v>-80.584602355957031</v>
      </c>
      <c r="L54">
        <v>18465</v>
      </c>
      <c r="M54">
        <v>20403</v>
      </c>
      <c r="N54" t="s">
        <v>144</v>
      </c>
      <c r="O54">
        <v>8.4404096603393555</v>
      </c>
      <c r="P54">
        <v>-80.541000366210938</v>
      </c>
      <c r="Q54">
        <v>3351</v>
      </c>
    </row>
    <row r="55" spans="1:17" x14ac:dyDescent="0.25">
      <c r="A55">
        <v>44</v>
      </c>
      <c r="B55" t="str">
        <f t="shared" si="0"/>
        <v>Guzmán</v>
      </c>
      <c r="C55">
        <v>2</v>
      </c>
      <c r="D55" t="s">
        <v>116</v>
      </c>
      <c r="E55">
        <v>8.5502901077270508</v>
      </c>
      <c r="F55">
        <v>-80.429603576660156</v>
      </c>
      <c r="G55">
        <v>233708</v>
      </c>
      <c r="H55">
        <v>204</v>
      </c>
      <c r="I55" t="s">
        <v>141</v>
      </c>
      <c r="J55">
        <v>8.3922796249389648</v>
      </c>
      <c r="K55">
        <v>-80.584602355957031</v>
      </c>
      <c r="L55">
        <v>18465</v>
      </c>
      <c r="M55">
        <v>20404</v>
      </c>
      <c r="N55" t="s">
        <v>145</v>
      </c>
      <c r="O55">
        <v>8.541839599609375</v>
      </c>
      <c r="P55">
        <v>-80.588401794433594</v>
      </c>
      <c r="Q55">
        <v>943</v>
      </c>
    </row>
    <row r="56" spans="1:17" x14ac:dyDescent="0.25">
      <c r="A56">
        <v>45</v>
      </c>
      <c r="B56" t="str">
        <f t="shared" si="0"/>
        <v>Las Huacas</v>
      </c>
      <c r="C56">
        <v>2</v>
      </c>
      <c r="D56" t="s">
        <v>116</v>
      </c>
      <c r="E56">
        <v>8.5502901077270508</v>
      </c>
      <c r="F56">
        <v>-80.429603576660156</v>
      </c>
      <c r="G56">
        <v>233708</v>
      </c>
      <c r="H56">
        <v>204</v>
      </c>
      <c r="I56" t="s">
        <v>141</v>
      </c>
      <c r="J56">
        <v>8.3922796249389648</v>
      </c>
      <c r="K56">
        <v>-80.584602355957031</v>
      </c>
      <c r="L56">
        <v>18465</v>
      </c>
      <c r="M56">
        <v>20405</v>
      </c>
      <c r="N56" t="s">
        <v>146</v>
      </c>
      <c r="O56">
        <v>8.4918498992919922</v>
      </c>
      <c r="P56">
        <v>-80.763397216796875</v>
      </c>
      <c r="Q56">
        <v>1585</v>
      </c>
    </row>
    <row r="57" spans="1:17" x14ac:dyDescent="0.25">
      <c r="A57">
        <v>46</v>
      </c>
      <c r="B57" t="str">
        <f t="shared" si="0"/>
        <v>Toza</v>
      </c>
      <c r="C57">
        <v>2</v>
      </c>
      <c r="D57" t="s">
        <v>116</v>
      </c>
      <c r="E57">
        <v>8.5502901077270508</v>
      </c>
      <c r="F57">
        <v>-80.429603576660156</v>
      </c>
      <c r="G57">
        <v>233708</v>
      </c>
      <c r="H57">
        <v>204</v>
      </c>
      <c r="I57" t="s">
        <v>141</v>
      </c>
      <c r="J57">
        <v>8.3922796249389648</v>
      </c>
      <c r="K57">
        <v>-80.584602355957031</v>
      </c>
      <c r="L57">
        <v>18465</v>
      </c>
      <c r="M57">
        <v>20406</v>
      </c>
      <c r="N57" t="s">
        <v>147</v>
      </c>
      <c r="O57">
        <v>8.365300178527832</v>
      </c>
      <c r="P57">
        <v>-80.631599426269531</v>
      </c>
      <c r="Q57">
        <v>2071</v>
      </c>
    </row>
    <row r="58" spans="1:17" x14ac:dyDescent="0.25">
      <c r="A58">
        <v>47</v>
      </c>
      <c r="B58" t="str">
        <f t="shared" si="0"/>
        <v>Olá (Cabecera)</v>
      </c>
      <c r="C58">
        <v>2</v>
      </c>
      <c r="D58" t="s">
        <v>116</v>
      </c>
      <c r="E58">
        <v>8.5502901077270508</v>
      </c>
      <c r="F58">
        <v>-80.429603576660156</v>
      </c>
      <c r="G58">
        <v>233708</v>
      </c>
      <c r="H58">
        <v>205</v>
      </c>
      <c r="I58" t="s">
        <v>148</v>
      </c>
      <c r="J58">
        <v>8.4896202087402344</v>
      </c>
      <c r="K58">
        <v>-80.671401977539063</v>
      </c>
      <c r="L58">
        <v>5875</v>
      </c>
      <c r="M58">
        <v>20501</v>
      </c>
      <c r="N58" t="s">
        <v>149</v>
      </c>
      <c r="O58">
        <v>8.4641895294189453</v>
      </c>
      <c r="P58">
        <v>-80.660598754882813</v>
      </c>
      <c r="Q58">
        <v>1419</v>
      </c>
    </row>
    <row r="59" spans="1:17" x14ac:dyDescent="0.25">
      <c r="A59">
        <v>48</v>
      </c>
      <c r="B59" t="str">
        <f t="shared" si="0"/>
        <v>El Copé</v>
      </c>
      <c r="C59">
        <v>2</v>
      </c>
      <c r="D59" t="s">
        <v>116</v>
      </c>
      <c r="E59">
        <v>8.5502901077270508</v>
      </c>
      <c r="F59">
        <v>-80.429603576660156</v>
      </c>
      <c r="G59">
        <v>233708</v>
      </c>
      <c r="H59">
        <v>205</v>
      </c>
      <c r="I59" t="s">
        <v>148</v>
      </c>
      <c r="J59">
        <v>8.4896202087402344</v>
      </c>
      <c r="K59">
        <v>-80.671401977539063</v>
      </c>
      <c r="L59">
        <v>5875</v>
      </c>
      <c r="M59">
        <v>20502</v>
      </c>
      <c r="N59" t="s">
        <v>150</v>
      </c>
      <c r="O59">
        <v>8.4704198837280273</v>
      </c>
      <c r="P59">
        <v>-80.708099365234375</v>
      </c>
      <c r="Q59">
        <v>1425</v>
      </c>
    </row>
    <row r="60" spans="1:17" x14ac:dyDescent="0.25">
      <c r="A60">
        <v>49</v>
      </c>
      <c r="B60" t="str">
        <f t="shared" si="0"/>
        <v>El Palmar</v>
      </c>
      <c r="C60">
        <v>2</v>
      </c>
      <c r="D60" t="s">
        <v>116</v>
      </c>
      <c r="E60">
        <v>8.5502901077270508</v>
      </c>
      <c r="F60">
        <v>-80.429603576660156</v>
      </c>
      <c r="G60">
        <v>233708</v>
      </c>
      <c r="H60">
        <v>205</v>
      </c>
      <c r="I60" t="s">
        <v>148</v>
      </c>
      <c r="J60">
        <v>8.4896202087402344</v>
      </c>
      <c r="K60">
        <v>-80.671401977539063</v>
      </c>
      <c r="L60">
        <v>5875</v>
      </c>
      <c r="M60">
        <v>20503</v>
      </c>
      <c r="N60" t="s">
        <v>151</v>
      </c>
      <c r="O60">
        <v>8.5693798065185547</v>
      </c>
      <c r="P60">
        <v>-80.712501525878906</v>
      </c>
      <c r="Q60">
        <v>1256</v>
      </c>
    </row>
    <row r="61" spans="1:17" x14ac:dyDescent="0.25">
      <c r="A61">
        <v>50</v>
      </c>
      <c r="B61" t="str">
        <f t="shared" si="0"/>
        <v>El Picacho</v>
      </c>
      <c r="C61">
        <v>2</v>
      </c>
      <c r="D61" t="s">
        <v>116</v>
      </c>
      <c r="E61">
        <v>8.5502901077270508</v>
      </c>
      <c r="F61">
        <v>-80.429603576660156</v>
      </c>
      <c r="G61">
        <v>233708</v>
      </c>
      <c r="H61">
        <v>205</v>
      </c>
      <c r="I61" t="s">
        <v>148</v>
      </c>
      <c r="J61">
        <v>8.4896202087402344</v>
      </c>
      <c r="K61">
        <v>-80.671401977539063</v>
      </c>
      <c r="L61">
        <v>5875</v>
      </c>
      <c r="M61">
        <v>20504</v>
      </c>
      <c r="N61" t="s">
        <v>152</v>
      </c>
      <c r="O61">
        <v>8.3898496627807617</v>
      </c>
      <c r="P61">
        <v>-80.640403747558594</v>
      </c>
      <c r="Q61">
        <v>331</v>
      </c>
    </row>
    <row r="62" spans="1:17" x14ac:dyDescent="0.25">
      <c r="A62">
        <v>51</v>
      </c>
      <c r="B62" t="str">
        <f t="shared" si="0"/>
        <v>La Pava</v>
      </c>
      <c r="C62">
        <v>2</v>
      </c>
      <c r="D62" t="s">
        <v>116</v>
      </c>
      <c r="E62">
        <v>8.5502901077270508</v>
      </c>
      <c r="F62">
        <v>-80.429603576660156</v>
      </c>
      <c r="G62">
        <v>233708</v>
      </c>
      <c r="H62">
        <v>205</v>
      </c>
      <c r="I62" t="s">
        <v>148</v>
      </c>
      <c r="J62">
        <v>8.4896202087402344</v>
      </c>
      <c r="K62">
        <v>-80.671401977539063</v>
      </c>
      <c r="L62">
        <v>5875</v>
      </c>
      <c r="M62">
        <v>20505</v>
      </c>
      <c r="N62" t="s">
        <v>153</v>
      </c>
      <c r="O62">
        <v>8.4689702987670898</v>
      </c>
      <c r="P62">
        <v>-80.60980224609375</v>
      </c>
      <c r="Q62">
        <v>1444</v>
      </c>
    </row>
    <row r="63" spans="1:17" x14ac:dyDescent="0.25">
      <c r="A63">
        <v>52</v>
      </c>
      <c r="B63" t="str">
        <f t="shared" si="0"/>
        <v>Penonomé (Cabecera)</v>
      </c>
      <c r="C63">
        <v>2</v>
      </c>
      <c r="D63" t="s">
        <v>116</v>
      </c>
      <c r="E63">
        <v>8.5502901077270508</v>
      </c>
      <c r="F63">
        <v>-80.429603576660156</v>
      </c>
      <c r="G63">
        <v>233708</v>
      </c>
      <c r="H63">
        <v>206</v>
      </c>
      <c r="I63" t="s">
        <v>154</v>
      </c>
      <c r="J63">
        <v>8.66864013671875</v>
      </c>
      <c r="K63">
        <v>-80.307899475097656</v>
      </c>
      <c r="L63">
        <v>85737</v>
      </c>
      <c r="M63">
        <v>20601</v>
      </c>
      <c r="N63" t="s">
        <v>155</v>
      </c>
      <c r="O63">
        <v>8.5279197692871094</v>
      </c>
      <c r="P63">
        <v>-80.358497619628906</v>
      </c>
      <c r="Q63">
        <v>21748</v>
      </c>
    </row>
    <row r="64" spans="1:17" x14ac:dyDescent="0.25">
      <c r="A64">
        <v>53</v>
      </c>
      <c r="B64" t="str">
        <f t="shared" si="0"/>
        <v>Cañaveral</v>
      </c>
      <c r="C64">
        <v>2</v>
      </c>
      <c r="D64" t="s">
        <v>116</v>
      </c>
      <c r="E64">
        <v>8.5502901077270508</v>
      </c>
      <c r="F64">
        <v>-80.429603576660156</v>
      </c>
      <c r="G64">
        <v>233708</v>
      </c>
      <c r="H64">
        <v>206</v>
      </c>
      <c r="I64" t="s">
        <v>154</v>
      </c>
      <c r="J64">
        <v>8.66864013671875</v>
      </c>
      <c r="K64">
        <v>-80.307899475097656</v>
      </c>
      <c r="L64">
        <v>85737</v>
      </c>
      <c r="M64">
        <v>20602</v>
      </c>
      <c r="N64" t="s">
        <v>156</v>
      </c>
      <c r="O64">
        <v>8.5223703384399414</v>
      </c>
      <c r="P64">
        <v>-80.416999816894531</v>
      </c>
      <c r="Q64">
        <v>7517</v>
      </c>
    </row>
    <row r="65" spans="1:17" x14ac:dyDescent="0.25">
      <c r="A65">
        <v>54</v>
      </c>
      <c r="B65" t="str">
        <f t="shared" si="0"/>
        <v>Coclé</v>
      </c>
      <c r="C65">
        <v>2</v>
      </c>
      <c r="D65" t="s">
        <v>116</v>
      </c>
      <c r="E65">
        <v>8.5502901077270508</v>
      </c>
      <c r="F65">
        <v>-80.429603576660156</v>
      </c>
      <c r="G65">
        <v>233708</v>
      </c>
      <c r="H65">
        <v>206</v>
      </c>
      <c r="I65" t="s">
        <v>154</v>
      </c>
      <c r="J65">
        <v>8.66864013671875</v>
      </c>
      <c r="K65">
        <v>-80.307899475097656</v>
      </c>
      <c r="L65">
        <v>85737</v>
      </c>
      <c r="M65">
        <v>20603</v>
      </c>
      <c r="N65" t="s">
        <v>116</v>
      </c>
      <c r="O65">
        <v>8.4075002670288086</v>
      </c>
      <c r="P65">
        <v>-80.422096252441406</v>
      </c>
      <c r="Q65">
        <v>4100</v>
      </c>
    </row>
    <row r="66" spans="1:17" x14ac:dyDescent="0.25">
      <c r="A66">
        <v>55</v>
      </c>
      <c r="B66" t="str">
        <f t="shared" si="0"/>
        <v>Chiguirí Arriba</v>
      </c>
      <c r="C66">
        <v>2</v>
      </c>
      <c r="D66" t="s">
        <v>116</v>
      </c>
      <c r="E66">
        <v>8.5502901077270508</v>
      </c>
      <c r="F66">
        <v>-80.429603576660156</v>
      </c>
      <c r="G66">
        <v>233708</v>
      </c>
      <c r="H66">
        <v>206</v>
      </c>
      <c r="I66" t="s">
        <v>154</v>
      </c>
      <c r="J66">
        <v>8.66864013671875</v>
      </c>
      <c r="K66">
        <v>-80.307899475097656</v>
      </c>
      <c r="L66">
        <v>85737</v>
      </c>
      <c r="M66">
        <v>20604</v>
      </c>
      <c r="N66" t="s">
        <v>157</v>
      </c>
      <c r="O66">
        <v>8.7105703353881836</v>
      </c>
      <c r="P66">
        <v>-80.176300048828125</v>
      </c>
      <c r="Q66">
        <v>10018</v>
      </c>
    </row>
    <row r="67" spans="1:17" x14ac:dyDescent="0.25">
      <c r="A67">
        <v>56</v>
      </c>
      <c r="B67" t="str">
        <f t="shared" si="0"/>
        <v>El Coco</v>
      </c>
      <c r="C67">
        <v>2</v>
      </c>
      <c r="D67" t="s">
        <v>116</v>
      </c>
      <c r="E67">
        <v>8.5502901077270508</v>
      </c>
      <c r="F67">
        <v>-80.429603576660156</v>
      </c>
      <c r="G67">
        <v>233708</v>
      </c>
      <c r="H67">
        <v>206</v>
      </c>
      <c r="I67" t="s">
        <v>154</v>
      </c>
      <c r="J67">
        <v>8.66864013671875</v>
      </c>
      <c r="K67">
        <v>-80.307899475097656</v>
      </c>
      <c r="L67">
        <v>85737</v>
      </c>
      <c r="M67">
        <v>20605</v>
      </c>
      <c r="N67" t="s">
        <v>158</v>
      </c>
      <c r="O67">
        <v>8.4118204116821289</v>
      </c>
      <c r="P67">
        <v>-80.354202270507813</v>
      </c>
      <c r="Q67">
        <v>5605</v>
      </c>
    </row>
    <row r="68" spans="1:17" x14ac:dyDescent="0.25">
      <c r="A68">
        <v>57</v>
      </c>
      <c r="B68" t="str">
        <f t="shared" si="0"/>
        <v>Pajonal</v>
      </c>
      <c r="C68">
        <v>2</v>
      </c>
      <c r="D68" t="s">
        <v>116</v>
      </c>
      <c r="E68">
        <v>8.5502901077270508</v>
      </c>
      <c r="F68">
        <v>-80.429603576660156</v>
      </c>
      <c r="G68">
        <v>233708</v>
      </c>
      <c r="H68">
        <v>206</v>
      </c>
      <c r="I68" t="s">
        <v>154</v>
      </c>
      <c r="J68">
        <v>8.66864013671875</v>
      </c>
      <c r="K68">
        <v>-80.307899475097656</v>
      </c>
      <c r="L68">
        <v>85737</v>
      </c>
      <c r="M68">
        <v>20606</v>
      </c>
      <c r="N68" t="s">
        <v>159</v>
      </c>
      <c r="O68">
        <v>8.5912799835205078</v>
      </c>
      <c r="P68">
        <v>-80.256103515625</v>
      </c>
      <c r="Q68">
        <v>13565</v>
      </c>
    </row>
    <row r="69" spans="1:17" x14ac:dyDescent="0.25">
      <c r="A69">
        <v>58</v>
      </c>
      <c r="B69" t="str">
        <f t="shared" si="0"/>
        <v>Río Grande</v>
      </c>
      <c r="C69">
        <v>2</v>
      </c>
      <c r="D69" t="s">
        <v>116</v>
      </c>
      <c r="E69">
        <v>8.5502901077270508</v>
      </c>
      <c r="F69">
        <v>-80.429603576660156</v>
      </c>
      <c r="G69">
        <v>233708</v>
      </c>
      <c r="H69">
        <v>206</v>
      </c>
      <c r="I69" t="s">
        <v>154</v>
      </c>
      <c r="J69">
        <v>8.66864013671875</v>
      </c>
      <c r="K69">
        <v>-80.307899475097656</v>
      </c>
      <c r="L69">
        <v>85737</v>
      </c>
      <c r="M69">
        <v>20607</v>
      </c>
      <c r="N69" t="s">
        <v>160</v>
      </c>
      <c r="O69">
        <v>8.4470500946044922</v>
      </c>
      <c r="P69">
        <v>-80.475997924804688</v>
      </c>
      <c r="Q69">
        <v>3117</v>
      </c>
    </row>
    <row r="70" spans="1:17" x14ac:dyDescent="0.25">
      <c r="A70">
        <v>59</v>
      </c>
      <c r="B70" t="str">
        <f t="shared" si="0"/>
        <v>Río Indio</v>
      </c>
      <c r="C70">
        <v>2</v>
      </c>
      <c r="D70" t="s">
        <v>116</v>
      </c>
      <c r="E70">
        <v>8.5502901077270508</v>
      </c>
      <c r="F70">
        <v>-80.429603576660156</v>
      </c>
      <c r="G70">
        <v>233708</v>
      </c>
      <c r="H70">
        <v>206</v>
      </c>
      <c r="I70" t="s">
        <v>154</v>
      </c>
      <c r="J70">
        <v>8.66864013671875</v>
      </c>
      <c r="K70">
        <v>-80.307899475097656</v>
      </c>
      <c r="L70">
        <v>85737</v>
      </c>
      <c r="M70">
        <v>20608</v>
      </c>
      <c r="N70" t="s">
        <v>161</v>
      </c>
      <c r="O70">
        <v>8.9061002731323242</v>
      </c>
      <c r="P70">
        <v>-80.2261962890625</v>
      </c>
      <c r="Q70">
        <v>5240</v>
      </c>
    </row>
    <row r="71" spans="1:17" x14ac:dyDescent="0.25">
      <c r="A71">
        <v>60</v>
      </c>
      <c r="B71" t="str">
        <f t="shared" si="0"/>
        <v>Toabré</v>
      </c>
      <c r="C71">
        <v>2</v>
      </c>
      <c r="D71" t="s">
        <v>116</v>
      </c>
      <c r="E71">
        <v>8.5502901077270508</v>
      </c>
      <c r="F71">
        <v>-80.429603576660156</v>
      </c>
      <c r="G71">
        <v>233708</v>
      </c>
      <c r="H71">
        <v>206</v>
      </c>
      <c r="I71" t="s">
        <v>154</v>
      </c>
      <c r="J71">
        <v>8.66864013671875</v>
      </c>
      <c r="K71">
        <v>-80.307899475097656</v>
      </c>
      <c r="L71">
        <v>85737</v>
      </c>
      <c r="M71">
        <v>20609</v>
      </c>
      <c r="N71" t="s">
        <v>162</v>
      </c>
      <c r="O71">
        <v>8.7375898361206055</v>
      </c>
      <c r="P71">
        <v>-80.301399230957031</v>
      </c>
      <c r="Q71">
        <v>10203</v>
      </c>
    </row>
    <row r="72" spans="1:17" x14ac:dyDescent="0.25">
      <c r="A72">
        <v>61</v>
      </c>
      <c r="B72" t="str">
        <f t="shared" si="0"/>
        <v>Tulú</v>
      </c>
      <c r="C72">
        <v>2</v>
      </c>
      <c r="D72" t="s">
        <v>116</v>
      </c>
      <c r="E72">
        <v>8.5502901077270508</v>
      </c>
      <c r="F72">
        <v>-80.429603576660156</v>
      </c>
      <c r="G72">
        <v>233708</v>
      </c>
      <c r="H72">
        <v>206</v>
      </c>
      <c r="I72" t="s">
        <v>154</v>
      </c>
      <c r="J72">
        <v>8.66864013671875</v>
      </c>
      <c r="K72">
        <v>-80.307899475097656</v>
      </c>
      <c r="L72">
        <v>85737</v>
      </c>
      <c r="M72">
        <v>20610</v>
      </c>
      <c r="N72" t="s">
        <v>163</v>
      </c>
      <c r="O72">
        <v>8.7228899002075195</v>
      </c>
      <c r="P72">
        <v>-80.388801574707031</v>
      </c>
      <c r="Q72">
        <v>4624</v>
      </c>
    </row>
    <row r="73" spans="1:17" x14ac:dyDescent="0.25">
      <c r="A73">
        <v>62</v>
      </c>
      <c r="B73" t="str">
        <f t="shared" si="0"/>
        <v>Barrio Norte</v>
      </c>
      <c r="C73">
        <v>3</v>
      </c>
      <c r="D73" t="s">
        <v>164</v>
      </c>
      <c r="E73">
        <v>9.18634033203125</v>
      </c>
      <c r="F73">
        <v>-80.013198852539063</v>
      </c>
      <c r="G73">
        <v>241928</v>
      </c>
      <c r="H73">
        <v>301</v>
      </c>
      <c r="I73" t="s">
        <v>164</v>
      </c>
      <c r="J73">
        <v>9.2426204681396484</v>
      </c>
      <c r="K73">
        <v>-79.813301086425781</v>
      </c>
      <c r="L73">
        <v>206553</v>
      </c>
      <c r="M73">
        <v>30101</v>
      </c>
      <c r="N73" t="s">
        <v>165</v>
      </c>
      <c r="O73">
        <v>9.3623695373535156</v>
      </c>
      <c r="P73">
        <v>-79.900802612304688</v>
      </c>
      <c r="Q73">
        <v>20579</v>
      </c>
    </row>
    <row r="74" spans="1:17" x14ac:dyDescent="0.25">
      <c r="A74">
        <v>63</v>
      </c>
      <c r="B74" t="str">
        <f t="shared" si="0"/>
        <v>Barrio Sur</v>
      </c>
      <c r="C74">
        <v>3</v>
      </c>
      <c r="D74" t="s">
        <v>164</v>
      </c>
      <c r="E74">
        <v>9.18634033203125</v>
      </c>
      <c r="F74">
        <v>-80.013198852539063</v>
      </c>
      <c r="G74">
        <v>241928</v>
      </c>
      <c r="H74">
        <v>301</v>
      </c>
      <c r="I74" t="s">
        <v>164</v>
      </c>
      <c r="J74">
        <v>9.2426204681396484</v>
      </c>
      <c r="K74">
        <v>-79.813301086425781</v>
      </c>
      <c r="L74">
        <v>206553</v>
      </c>
      <c r="M74">
        <v>30102</v>
      </c>
      <c r="N74" t="s">
        <v>166</v>
      </c>
      <c r="O74">
        <v>9.3536300659179688</v>
      </c>
      <c r="P74">
        <v>-79.895599365234375</v>
      </c>
      <c r="Q74">
        <v>14076</v>
      </c>
    </row>
    <row r="75" spans="1:17" x14ac:dyDescent="0.25">
      <c r="A75">
        <v>64</v>
      </c>
      <c r="B75" t="str">
        <f t="shared" si="0"/>
        <v>Buena Vista</v>
      </c>
      <c r="C75">
        <v>3</v>
      </c>
      <c r="D75" t="s">
        <v>164</v>
      </c>
      <c r="E75">
        <v>9.18634033203125</v>
      </c>
      <c r="F75">
        <v>-80.013198852539063</v>
      </c>
      <c r="G75">
        <v>241928</v>
      </c>
      <c r="H75">
        <v>301</v>
      </c>
      <c r="I75" t="s">
        <v>164</v>
      </c>
      <c r="J75">
        <v>9.2426204681396484</v>
      </c>
      <c r="K75">
        <v>-79.813301086425781</v>
      </c>
      <c r="L75">
        <v>206553</v>
      </c>
      <c r="M75">
        <v>30103</v>
      </c>
      <c r="N75" t="s">
        <v>167</v>
      </c>
      <c r="O75">
        <v>9.2845096588134766</v>
      </c>
      <c r="P75">
        <v>-79.685302734375</v>
      </c>
      <c r="Q75">
        <v>14285</v>
      </c>
    </row>
    <row r="76" spans="1:17" x14ac:dyDescent="0.25">
      <c r="A76">
        <v>65</v>
      </c>
      <c r="B76" t="str">
        <f t="shared" ref="B76:B139" si="1">+N76</f>
        <v>Cativá</v>
      </c>
      <c r="C76">
        <v>3</v>
      </c>
      <c r="D76" t="s">
        <v>164</v>
      </c>
      <c r="E76">
        <v>9.18634033203125</v>
      </c>
      <c r="F76">
        <v>-80.013198852539063</v>
      </c>
      <c r="G76">
        <v>241928</v>
      </c>
      <c r="H76">
        <v>301</v>
      </c>
      <c r="I76" t="s">
        <v>164</v>
      </c>
      <c r="J76">
        <v>9.2426204681396484</v>
      </c>
      <c r="K76">
        <v>-79.813301086425781</v>
      </c>
      <c r="L76">
        <v>206553</v>
      </c>
      <c r="M76">
        <v>30104</v>
      </c>
      <c r="N76" t="s">
        <v>168</v>
      </c>
      <c r="O76">
        <v>9.361140251159668</v>
      </c>
      <c r="P76">
        <v>-79.830299377441406</v>
      </c>
      <c r="Q76">
        <v>34558</v>
      </c>
    </row>
    <row r="77" spans="1:17" x14ac:dyDescent="0.25">
      <c r="A77">
        <v>66</v>
      </c>
      <c r="B77" t="str">
        <f t="shared" si="1"/>
        <v>Ciricito</v>
      </c>
      <c r="C77">
        <v>3</v>
      </c>
      <c r="D77" t="s">
        <v>164</v>
      </c>
      <c r="E77">
        <v>9.18634033203125</v>
      </c>
      <c r="F77">
        <v>-80.013198852539063</v>
      </c>
      <c r="G77">
        <v>241928</v>
      </c>
      <c r="H77">
        <v>301</v>
      </c>
      <c r="I77" t="s">
        <v>164</v>
      </c>
      <c r="J77">
        <v>9.2426204681396484</v>
      </c>
      <c r="K77">
        <v>-79.813301086425781</v>
      </c>
      <c r="L77">
        <v>206553</v>
      </c>
      <c r="M77">
        <v>30105</v>
      </c>
      <c r="N77" t="s">
        <v>169</v>
      </c>
      <c r="O77">
        <v>9.0191001892089844</v>
      </c>
      <c r="P77">
        <v>-80.058700561523438</v>
      </c>
      <c r="Q77">
        <v>2900</v>
      </c>
    </row>
    <row r="78" spans="1:17" x14ac:dyDescent="0.25">
      <c r="A78">
        <v>67</v>
      </c>
      <c r="B78" t="str">
        <f t="shared" si="1"/>
        <v>Cristóbal</v>
      </c>
      <c r="C78">
        <v>3</v>
      </c>
      <c r="D78" t="s">
        <v>164</v>
      </c>
      <c r="E78">
        <v>9.18634033203125</v>
      </c>
      <c r="F78">
        <v>-80.013198852539063</v>
      </c>
      <c r="G78">
        <v>241928</v>
      </c>
      <c r="H78">
        <v>301</v>
      </c>
      <c r="I78" t="s">
        <v>164</v>
      </c>
      <c r="J78">
        <v>9.2426204681396484</v>
      </c>
      <c r="K78">
        <v>-79.813301086425781</v>
      </c>
      <c r="L78">
        <v>206553</v>
      </c>
      <c r="M78">
        <v>30107</v>
      </c>
      <c r="N78" t="s">
        <v>170</v>
      </c>
      <c r="O78">
        <v>9.2187795639038086</v>
      </c>
      <c r="P78">
        <v>-79.872901916503906</v>
      </c>
      <c r="Q78">
        <v>2388</v>
      </c>
    </row>
    <row r="79" spans="1:17" x14ac:dyDescent="0.25">
      <c r="A79">
        <v>68</v>
      </c>
      <c r="B79" t="str">
        <f t="shared" si="1"/>
        <v>Cristóbal</v>
      </c>
      <c r="C79">
        <v>3</v>
      </c>
      <c r="D79" t="s">
        <v>164</v>
      </c>
      <c r="E79">
        <v>9.18634033203125</v>
      </c>
      <c r="F79">
        <v>-80.013198852539063</v>
      </c>
      <c r="G79">
        <v>241928</v>
      </c>
      <c r="H79">
        <v>301</v>
      </c>
      <c r="I79" t="s">
        <v>164</v>
      </c>
      <c r="J79">
        <v>9.2426204681396484</v>
      </c>
      <c r="K79">
        <v>-79.813301086425781</v>
      </c>
      <c r="L79">
        <v>206553</v>
      </c>
      <c r="M79">
        <v>30107</v>
      </c>
      <c r="N79" t="s">
        <v>170</v>
      </c>
      <c r="O79">
        <v>9.1827001571655273</v>
      </c>
      <c r="P79">
        <v>-79.889297485351563</v>
      </c>
      <c r="Q79">
        <v>2388</v>
      </c>
    </row>
    <row r="80" spans="1:17" x14ac:dyDescent="0.25">
      <c r="A80">
        <v>69</v>
      </c>
      <c r="B80" t="str">
        <f t="shared" si="1"/>
        <v>Limón</v>
      </c>
      <c r="C80">
        <v>3</v>
      </c>
      <c r="D80" t="s">
        <v>164</v>
      </c>
      <c r="E80">
        <v>9.18634033203125</v>
      </c>
      <c r="F80">
        <v>-80.013198852539063</v>
      </c>
      <c r="G80">
        <v>241928</v>
      </c>
      <c r="H80">
        <v>301</v>
      </c>
      <c r="I80" t="s">
        <v>164</v>
      </c>
      <c r="J80">
        <v>9.2426204681396484</v>
      </c>
      <c r="K80">
        <v>-79.813301086425781</v>
      </c>
      <c r="L80">
        <v>206553</v>
      </c>
      <c r="M80">
        <v>30108</v>
      </c>
      <c r="N80" t="s">
        <v>171</v>
      </c>
      <c r="O80">
        <v>9.2624597549438477</v>
      </c>
      <c r="P80">
        <v>-79.752799987792969</v>
      </c>
      <c r="Q80">
        <v>4665</v>
      </c>
    </row>
    <row r="81" spans="1:17" x14ac:dyDescent="0.25">
      <c r="A81">
        <v>70</v>
      </c>
      <c r="B81" t="str">
        <f t="shared" si="1"/>
        <v>Nueva Providencia</v>
      </c>
      <c r="C81">
        <v>3</v>
      </c>
      <c r="D81" t="s">
        <v>164</v>
      </c>
      <c r="E81">
        <v>9.18634033203125</v>
      </c>
      <c r="F81">
        <v>-80.013198852539063</v>
      </c>
      <c r="G81">
        <v>241928</v>
      </c>
      <c r="H81">
        <v>301</v>
      </c>
      <c r="I81" t="s">
        <v>164</v>
      </c>
      <c r="J81">
        <v>9.2426204681396484</v>
      </c>
      <c r="K81">
        <v>-79.813301086425781</v>
      </c>
      <c r="L81">
        <v>206553</v>
      </c>
      <c r="M81">
        <v>30109</v>
      </c>
      <c r="N81" t="s">
        <v>172</v>
      </c>
      <c r="O81">
        <v>9.295680046081543</v>
      </c>
      <c r="P81">
        <v>-79.803199768066406</v>
      </c>
      <c r="Q81">
        <v>5813</v>
      </c>
    </row>
    <row r="82" spans="1:17" x14ac:dyDescent="0.25">
      <c r="A82">
        <v>71</v>
      </c>
      <c r="B82" t="str">
        <f t="shared" si="1"/>
        <v>Puerto Pilón</v>
      </c>
      <c r="C82">
        <v>3</v>
      </c>
      <c r="D82" t="s">
        <v>164</v>
      </c>
      <c r="E82">
        <v>9.18634033203125</v>
      </c>
      <c r="F82">
        <v>-80.013198852539063</v>
      </c>
      <c r="G82">
        <v>241928</v>
      </c>
      <c r="H82">
        <v>301</v>
      </c>
      <c r="I82" t="s">
        <v>164</v>
      </c>
      <c r="J82">
        <v>9.2426204681396484</v>
      </c>
      <c r="K82">
        <v>-79.813301086425781</v>
      </c>
      <c r="L82">
        <v>206553</v>
      </c>
      <c r="M82">
        <v>30110</v>
      </c>
      <c r="N82" t="s">
        <v>173</v>
      </c>
      <c r="O82">
        <v>9.3569297790527344</v>
      </c>
      <c r="P82">
        <v>-79.751800537109375</v>
      </c>
      <c r="Q82">
        <v>16517</v>
      </c>
    </row>
    <row r="83" spans="1:17" x14ac:dyDescent="0.25">
      <c r="A83">
        <v>72</v>
      </c>
      <c r="B83" t="str">
        <f t="shared" si="1"/>
        <v>Sabanitas</v>
      </c>
      <c r="C83">
        <v>3</v>
      </c>
      <c r="D83" t="s">
        <v>164</v>
      </c>
      <c r="E83">
        <v>9.18634033203125</v>
      </c>
      <c r="F83">
        <v>-80.013198852539063</v>
      </c>
      <c r="G83">
        <v>241928</v>
      </c>
      <c r="H83">
        <v>301</v>
      </c>
      <c r="I83" t="s">
        <v>164</v>
      </c>
      <c r="J83">
        <v>9.2426204681396484</v>
      </c>
      <c r="K83">
        <v>-79.813301086425781</v>
      </c>
      <c r="L83">
        <v>206553</v>
      </c>
      <c r="M83">
        <v>30111</v>
      </c>
      <c r="N83" t="s">
        <v>174</v>
      </c>
      <c r="O83">
        <v>9.3357400894165039</v>
      </c>
      <c r="P83">
        <v>-79.800201416015625</v>
      </c>
      <c r="Q83">
        <v>19052</v>
      </c>
    </row>
    <row r="84" spans="1:17" x14ac:dyDescent="0.25">
      <c r="A84">
        <v>73</v>
      </c>
      <c r="B84" t="str">
        <f t="shared" si="1"/>
        <v>Salamanca</v>
      </c>
      <c r="C84">
        <v>3</v>
      </c>
      <c r="D84" t="s">
        <v>164</v>
      </c>
      <c r="E84">
        <v>9.18634033203125</v>
      </c>
      <c r="F84">
        <v>-80.013198852539063</v>
      </c>
      <c r="G84">
        <v>241928</v>
      </c>
      <c r="H84">
        <v>301</v>
      </c>
      <c r="I84" t="s">
        <v>164</v>
      </c>
      <c r="J84">
        <v>9.2426204681396484</v>
      </c>
      <c r="K84">
        <v>-79.813301086425781</v>
      </c>
      <c r="L84">
        <v>206553</v>
      </c>
      <c r="M84">
        <v>30112</v>
      </c>
      <c r="N84" t="s">
        <v>175</v>
      </c>
      <c r="O84">
        <v>9.3793001174926758</v>
      </c>
      <c r="P84">
        <v>-79.602401733398438</v>
      </c>
      <c r="Q84">
        <v>3881</v>
      </c>
    </row>
    <row r="85" spans="1:17" x14ac:dyDescent="0.25">
      <c r="A85">
        <v>74</v>
      </c>
      <c r="B85" t="str">
        <f t="shared" si="1"/>
        <v>San Juan</v>
      </c>
      <c r="C85">
        <v>3</v>
      </c>
      <c r="D85" t="s">
        <v>164</v>
      </c>
      <c r="E85">
        <v>9.18634033203125</v>
      </c>
      <c r="F85">
        <v>-80.013198852539063</v>
      </c>
      <c r="G85">
        <v>241928</v>
      </c>
      <c r="H85">
        <v>301</v>
      </c>
      <c r="I85" t="s">
        <v>164</v>
      </c>
      <c r="J85">
        <v>9.2426204681396484</v>
      </c>
      <c r="K85">
        <v>-79.813301086425781</v>
      </c>
      <c r="L85">
        <v>206553</v>
      </c>
      <c r="M85">
        <v>30113</v>
      </c>
      <c r="N85" t="s">
        <v>176</v>
      </c>
      <c r="O85">
        <v>9.2413902282714844</v>
      </c>
      <c r="P85">
        <v>-79.636703491210938</v>
      </c>
      <c r="Q85">
        <v>17430</v>
      </c>
    </row>
    <row r="86" spans="1:17" x14ac:dyDescent="0.25">
      <c r="A86">
        <v>75</v>
      </c>
      <c r="B86" t="str">
        <f t="shared" si="1"/>
        <v>Santa Rosa</v>
      </c>
      <c r="C86">
        <v>3</v>
      </c>
      <c r="D86" t="s">
        <v>164</v>
      </c>
      <c r="E86">
        <v>9.18634033203125</v>
      </c>
      <c r="F86">
        <v>-80.013198852539063</v>
      </c>
      <c r="G86">
        <v>241928</v>
      </c>
      <c r="H86">
        <v>301</v>
      </c>
      <c r="I86" t="s">
        <v>164</v>
      </c>
      <c r="J86">
        <v>9.2426204681396484</v>
      </c>
      <c r="K86">
        <v>-79.813301086425781</v>
      </c>
      <c r="L86">
        <v>206553</v>
      </c>
      <c r="M86">
        <v>30114</v>
      </c>
      <c r="N86" t="s">
        <v>177</v>
      </c>
      <c r="O86">
        <v>9.2052202224731445</v>
      </c>
      <c r="P86">
        <v>-79.679397583007813</v>
      </c>
      <c r="Q86">
        <v>987</v>
      </c>
    </row>
    <row r="87" spans="1:17" x14ac:dyDescent="0.25">
      <c r="A87">
        <v>76</v>
      </c>
      <c r="B87" t="str">
        <f t="shared" si="1"/>
        <v>Escobal</v>
      </c>
      <c r="C87">
        <v>3</v>
      </c>
      <c r="D87" t="s">
        <v>164</v>
      </c>
      <c r="E87">
        <v>9.18634033203125</v>
      </c>
      <c r="F87">
        <v>-80.013198852539063</v>
      </c>
      <c r="G87">
        <v>241928</v>
      </c>
      <c r="H87">
        <v>301</v>
      </c>
      <c r="I87" t="s">
        <v>164</v>
      </c>
      <c r="J87">
        <v>9.2426204681396484</v>
      </c>
      <c r="K87">
        <v>-79.813301086425781</v>
      </c>
      <c r="L87">
        <v>206553</v>
      </c>
      <c r="M87">
        <v>30107</v>
      </c>
      <c r="N87" t="s">
        <v>178</v>
      </c>
      <c r="O87">
        <v>9.0946798324584961</v>
      </c>
      <c r="P87">
        <v>-80.002998352050781</v>
      </c>
      <c r="Q87">
        <v>2388</v>
      </c>
    </row>
    <row r="88" spans="1:17" x14ac:dyDescent="0.25">
      <c r="A88">
        <v>77</v>
      </c>
      <c r="B88" t="str">
        <f t="shared" si="1"/>
        <v>Nuevo Chagres (Cabecera)</v>
      </c>
      <c r="C88">
        <v>3</v>
      </c>
      <c r="D88" t="s">
        <v>164</v>
      </c>
      <c r="E88">
        <v>9.18634033203125</v>
      </c>
      <c r="F88">
        <v>-80.013198852539063</v>
      </c>
      <c r="G88">
        <v>241928</v>
      </c>
      <c r="H88">
        <v>302</v>
      </c>
      <c r="I88" t="s">
        <v>179</v>
      </c>
      <c r="J88">
        <v>9.1323404312133789</v>
      </c>
      <c r="K88">
        <v>-80.106201171875</v>
      </c>
      <c r="L88">
        <v>10003</v>
      </c>
      <c r="M88">
        <v>30201</v>
      </c>
      <c r="N88" t="s">
        <v>180</v>
      </c>
      <c r="O88">
        <v>9.2445802688598633</v>
      </c>
      <c r="P88">
        <v>-80.071998596191406</v>
      </c>
      <c r="Q88">
        <v>499</v>
      </c>
    </row>
    <row r="89" spans="1:17" x14ac:dyDescent="0.25">
      <c r="A89">
        <v>78</v>
      </c>
      <c r="B89" t="str">
        <f t="shared" si="1"/>
        <v>Achiote</v>
      </c>
      <c r="C89">
        <v>3</v>
      </c>
      <c r="D89" t="s">
        <v>164</v>
      </c>
      <c r="E89">
        <v>9.18634033203125</v>
      </c>
      <c r="F89">
        <v>-80.013198852539063</v>
      </c>
      <c r="G89">
        <v>241928</v>
      </c>
      <c r="H89">
        <v>302</v>
      </c>
      <c r="I89" t="s">
        <v>179</v>
      </c>
      <c r="J89">
        <v>9.1323404312133789</v>
      </c>
      <c r="K89">
        <v>-80.106201171875</v>
      </c>
      <c r="L89">
        <v>10003</v>
      </c>
      <c r="M89">
        <v>30202</v>
      </c>
      <c r="N89" t="s">
        <v>181</v>
      </c>
      <c r="O89">
        <v>9.2042398452758789</v>
      </c>
      <c r="P89">
        <v>-80.029998779296875</v>
      </c>
      <c r="Q89">
        <v>771</v>
      </c>
    </row>
    <row r="90" spans="1:17" x14ac:dyDescent="0.25">
      <c r="A90">
        <v>79</v>
      </c>
      <c r="B90" t="str">
        <f t="shared" si="1"/>
        <v>El Guabo</v>
      </c>
      <c r="C90">
        <v>3</v>
      </c>
      <c r="D90" t="s">
        <v>164</v>
      </c>
      <c r="E90">
        <v>9.18634033203125</v>
      </c>
      <c r="F90">
        <v>-80.013198852539063</v>
      </c>
      <c r="G90">
        <v>241928</v>
      </c>
      <c r="H90">
        <v>302</v>
      </c>
      <c r="I90" t="s">
        <v>179</v>
      </c>
      <c r="J90">
        <v>9.1323404312133789</v>
      </c>
      <c r="K90">
        <v>-80.106201171875</v>
      </c>
      <c r="L90">
        <v>10003</v>
      </c>
      <c r="M90">
        <v>30203</v>
      </c>
      <c r="N90" t="s">
        <v>182</v>
      </c>
      <c r="O90">
        <v>9.1132001876831055</v>
      </c>
      <c r="P90">
        <v>-80.078498840332031</v>
      </c>
      <c r="Q90">
        <v>1330</v>
      </c>
    </row>
    <row r="91" spans="1:17" x14ac:dyDescent="0.25">
      <c r="A91">
        <v>80</v>
      </c>
      <c r="B91" t="str">
        <f t="shared" si="1"/>
        <v>La Encantada</v>
      </c>
      <c r="C91">
        <v>3</v>
      </c>
      <c r="D91" t="s">
        <v>164</v>
      </c>
      <c r="E91">
        <v>9.18634033203125</v>
      </c>
      <c r="F91">
        <v>-80.013198852539063</v>
      </c>
      <c r="G91">
        <v>241928</v>
      </c>
      <c r="H91">
        <v>302</v>
      </c>
      <c r="I91" t="s">
        <v>179</v>
      </c>
      <c r="J91">
        <v>9.1323404312133789</v>
      </c>
      <c r="K91">
        <v>-80.106201171875</v>
      </c>
      <c r="L91">
        <v>10003</v>
      </c>
      <c r="M91">
        <v>30204</v>
      </c>
      <c r="N91" t="s">
        <v>183</v>
      </c>
      <c r="O91">
        <v>9.0422296524047852</v>
      </c>
      <c r="P91">
        <v>-80.152496337890625</v>
      </c>
      <c r="Q91">
        <v>2561</v>
      </c>
    </row>
    <row r="92" spans="1:17" x14ac:dyDescent="0.25">
      <c r="A92">
        <v>81</v>
      </c>
      <c r="B92" t="str">
        <f t="shared" si="1"/>
        <v>Palmas Bellas</v>
      </c>
      <c r="C92">
        <v>3</v>
      </c>
      <c r="D92" t="s">
        <v>164</v>
      </c>
      <c r="E92">
        <v>9.18634033203125</v>
      </c>
      <c r="F92">
        <v>-80.013198852539063</v>
      </c>
      <c r="G92">
        <v>241928</v>
      </c>
      <c r="H92">
        <v>302</v>
      </c>
      <c r="I92" t="s">
        <v>179</v>
      </c>
      <c r="J92">
        <v>9.1323404312133789</v>
      </c>
      <c r="K92">
        <v>-80.106201171875</v>
      </c>
      <c r="L92">
        <v>10003</v>
      </c>
      <c r="M92">
        <v>30205</v>
      </c>
      <c r="N92" t="s">
        <v>184</v>
      </c>
      <c r="O92">
        <v>9.1817197799682617</v>
      </c>
      <c r="P92">
        <v>-80.08380126953125</v>
      </c>
      <c r="Q92">
        <v>1844</v>
      </c>
    </row>
    <row r="93" spans="1:17" x14ac:dyDescent="0.25">
      <c r="A93">
        <v>82</v>
      </c>
      <c r="B93" t="str">
        <f t="shared" si="1"/>
        <v>Piña</v>
      </c>
      <c r="C93">
        <v>3</v>
      </c>
      <c r="D93" t="s">
        <v>164</v>
      </c>
      <c r="E93">
        <v>9.18634033203125</v>
      </c>
      <c r="F93">
        <v>-80.013198852539063</v>
      </c>
      <c r="G93">
        <v>241928</v>
      </c>
      <c r="H93">
        <v>302</v>
      </c>
      <c r="I93" t="s">
        <v>179</v>
      </c>
      <c r="J93">
        <v>9.1323404312133789</v>
      </c>
      <c r="K93">
        <v>-80.106201171875</v>
      </c>
      <c r="L93">
        <v>10003</v>
      </c>
      <c r="M93">
        <v>30206</v>
      </c>
      <c r="N93" t="s">
        <v>185</v>
      </c>
      <c r="O93">
        <v>9.2635402679443359</v>
      </c>
      <c r="P93">
        <v>-80.025497436523438</v>
      </c>
      <c r="Q93">
        <v>836</v>
      </c>
    </row>
    <row r="94" spans="1:17" x14ac:dyDescent="0.25">
      <c r="A94">
        <v>83</v>
      </c>
      <c r="B94" t="str">
        <f t="shared" si="1"/>
        <v>Salud</v>
      </c>
      <c r="C94">
        <v>3</v>
      </c>
      <c r="D94" t="s">
        <v>164</v>
      </c>
      <c r="E94">
        <v>9.18634033203125</v>
      </c>
      <c r="F94">
        <v>-80.013198852539063</v>
      </c>
      <c r="G94">
        <v>241928</v>
      </c>
      <c r="H94">
        <v>302</v>
      </c>
      <c r="I94" t="s">
        <v>179</v>
      </c>
      <c r="J94">
        <v>9.1323404312133789</v>
      </c>
      <c r="K94">
        <v>-80.106201171875</v>
      </c>
      <c r="L94">
        <v>10003</v>
      </c>
      <c r="M94">
        <v>30207</v>
      </c>
      <c r="N94" t="s">
        <v>186</v>
      </c>
      <c r="O94">
        <v>9.1460695266723633</v>
      </c>
      <c r="P94">
        <v>-80.141799926757813</v>
      </c>
      <c r="Q94">
        <v>2162</v>
      </c>
    </row>
    <row r="95" spans="1:17" x14ac:dyDescent="0.25">
      <c r="A95">
        <v>84</v>
      </c>
      <c r="B95" t="str">
        <f t="shared" si="1"/>
        <v>Miguel de La Borda (Cabecera)</v>
      </c>
      <c r="C95">
        <v>3</v>
      </c>
      <c r="D95" t="s">
        <v>164</v>
      </c>
      <c r="E95">
        <v>9.18634033203125</v>
      </c>
      <c r="F95">
        <v>-80.013198852539063</v>
      </c>
      <c r="G95">
        <v>241928</v>
      </c>
      <c r="H95">
        <v>303</v>
      </c>
      <c r="I95" t="s">
        <v>187</v>
      </c>
      <c r="J95">
        <v>8.9732503890991211</v>
      </c>
      <c r="K95">
        <v>-80.509597778320313</v>
      </c>
      <c r="L95">
        <v>12810</v>
      </c>
      <c r="M95">
        <v>30301</v>
      </c>
      <c r="N95" t="s">
        <v>188</v>
      </c>
      <c r="O95">
        <v>9.0932502746582031</v>
      </c>
      <c r="P95">
        <v>-80.374900817871094</v>
      </c>
      <c r="Q95">
        <v>2326</v>
      </c>
    </row>
    <row r="96" spans="1:17" x14ac:dyDescent="0.25">
      <c r="A96">
        <v>85</v>
      </c>
      <c r="B96" t="str">
        <f t="shared" si="1"/>
        <v>Coclé del Norte</v>
      </c>
      <c r="C96">
        <v>3</v>
      </c>
      <c r="D96" t="s">
        <v>164</v>
      </c>
      <c r="E96">
        <v>9.18634033203125</v>
      </c>
      <c r="F96">
        <v>-80.013198852539063</v>
      </c>
      <c r="G96">
        <v>241928</v>
      </c>
      <c r="H96">
        <v>303</v>
      </c>
      <c r="I96" t="s">
        <v>187</v>
      </c>
      <c r="J96">
        <v>8.9732503890991211</v>
      </c>
      <c r="K96">
        <v>-80.509597778320313</v>
      </c>
      <c r="L96">
        <v>12810</v>
      </c>
      <c r="M96">
        <v>30302</v>
      </c>
      <c r="N96" t="s">
        <v>189</v>
      </c>
      <c r="O96">
        <v>8.9109601974487305</v>
      </c>
      <c r="P96">
        <v>-80.638298034667969</v>
      </c>
      <c r="Q96">
        <v>3555</v>
      </c>
    </row>
    <row r="97" spans="1:17" x14ac:dyDescent="0.25">
      <c r="A97">
        <v>86</v>
      </c>
      <c r="B97" t="str">
        <f t="shared" si="1"/>
        <v>El Guásimo</v>
      </c>
      <c r="C97">
        <v>3</v>
      </c>
      <c r="D97" t="s">
        <v>164</v>
      </c>
      <c r="E97">
        <v>9.18634033203125</v>
      </c>
      <c r="F97">
        <v>-80.013198852539063</v>
      </c>
      <c r="G97">
        <v>241928</v>
      </c>
      <c r="H97">
        <v>303</v>
      </c>
      <c r="I97" t="s">
        <v>187</v>
      </c>
      <c r="J97">
        <v>8.9732503890991211</v>
      </c>
      <c r="K97">
        <v>-80.509597778320313</v>
      </c>
      <c r="L97">
        <v>12810</v>
      </c>
      <c r="M97">
        <v>30303</v>
      </c>
      <c r="N97" t="s">
        <v>190</v>
      </c>
      <c r="O97">
        <v>9.0007801055908203</v>
      </c>
      <c r="P97">
        <v>-80.333396911621094</v>
      </c>
      <c r="Q97">
        <v>2843</v>
      </c>
    </row>
    <row r="98" spans="1:17" x14ac:dyDescent="0.25">
      <c r="A98">
        <v>87</v>
      </c>
      <c r="B98" t="str">
        <f t="shared" si="1"/>
        <v>Gobea</v>
      </c>
      <c r="C98">
        <v>3</v>
      </c>
      <c r="D98" t="s">
        <v>164</v>
      </c>
      <c r="E98">
        <v>9.18634033203125</v>
      </c>
      <c r="F98">
        <v>-80.013198852539063</v>
      </c>
      <c r="G98">
        <v>241928</v>
      </c>
      <c r="H98">
        <v>303</v>
      </c>
      <c r="I98" t="s">
        <v>187</v>
      </c>
      <c r="J98">
        <v>8.9732503890991211</v>
      </c>
      <c r="K98">
        <v>-80.509597778320313</v>
      </c>
      <c r="L98">
        <v>12810</v>
      </c>
      <c r="M98">
        <v>30304</v>
      </c>
      <c r="N98" t="s">
        <v>191</v>
      </c>
      <c r="O98">
        <v>9.130040168762207</v>
      </c>
      <c r="P98">
        <v>-80.22869873046875</v>
      </c>
      <c r="Q98">
        <v>794</v>
      </c>
    </row>
    <row r="99" spans="1:17" x14ac:dyDescent="0.25">
      <c r="A99">
        <v>88</v>
      </c>
      <c r="B99" t="str">
        <f t="shared" si="1"/>
        <v>Río Indio</v>
      </c>
      <c r="C99">
        <v>3</v>
      </c>
      <c r="D99" t="s">
        <v>164</v>
      </c>
      <c r="E99">
        <v>9.18634033203125</v>
      </c>
      <c r="F99">
        <v>-80.013198852539063</v>
      </c>
      <c r="G99">
        <v>241928</v>
      </c>
      <c r="H99">
        <v>303</v>
      </c>
      <c r="I99" t="s">
        <v>187</v>
      </c>
      <c r="J99">
        <v>8.9732503890991211</v>
      </c>
      <c r="K99">
        <v>-80.509597778320313</v>
      </c>
      <c r="L99">
        <v>12810</v>
      </c>
      <c r="M99">
        <v>30305</v>
      </c>
      <c r="N99" t="s">
        <v>161</v>
      </c>
      <c r="O99">
        <v>9.0889797210693359</v>
      </c>
      <c r="P99">
        <v>-80.207603454589844</v>
      </c>
      <c r="Q99">
        <v>1044</v>
      </c>
    </row>
    <row r="100" spans="1:17" x14ac:dyDescent="0.25">
      <c r="A100">
        <v>89</v>
      </c>
      <c r="B100" t="str">
        <f t="shared" si="1"/>
        <v>Portobelo (Cabecera)</v>
      </c>
      <c r="C100">
        <v>3</v>
      </c>
      <c r="D100" t="s">
        <v>164</v>
      </c>
      <c r="E100">
        <v>9.18634033203125</v>
      </c>
      <c r="F100">
        <v>-80.013198852539063</v>
      </c>
      <c r="G100">
        <v>241928</v>
      </c>
      <c r="H100">
        <v>304</v>
      </c>
      <c r="I100" t="s">
        <v>192</v>
      </c>
      <c r="J100">
        <v>9.4945602416992188</v>
      </c>
      <c r="K100">
        <v>-79.6427001953125</v>
      </c>
      <c r="L100">
        <v>9126</v>
      </c>
      <c r="M100">
        <v>30401</v>
      </c>
      <c r="N100" t="s">
        <v>193</v>
      </c>
      <c r="O100">
        <v>9.5014200210571289</v>
      </c>
      <c r="P100">
        <v>-79.630996704101563</v>
      </c>
      <c r="Q100">
        <v>4559</v>
      </c>
    </row>
    <row r="101" spans="1:17" x14ac:dyDescent="0.25">
      <c r="A101">
        <v>90</v>
      </c>
      <c r="B101" t="str">
        <f t="shared" si="1"/>
        <v>Cacique</v>
      </c>
      <c r="C101">
        <v>3</v>
      </c>
      <c r="D101" t="s">
        <v>164</v>
      </c>
      <c r="E101">
        <v>9.18634033203125</v>
      </c>
      <c r="F101">
        <v>-80.013198852539063</v>
      </c>
      <c r="G101">
        <v>241928</v>
      </c>
      <c r="H101">
        <v>304</v>
      </c>
      <c r="I101" t="s">
        <v>192</v>
      </c>
      <c r="J101">
        <v>9.4945602416992188</v>
      </c>
      <c r="K101">
        <v>-79.6427001953125</v>
      </c>
      <c r="L101">
        <v>9126</v>
      </c>
      <c r="M101">
        <v>30402</v>
      </c>
      <c r="N101" t="s">
        <v>194</v>
      </c>
      <c r="O101">
        <v>9.5963497161865234</v>
      </c>
      <c r="P101">
        <v>-79.629402160644531</v>
      </c>
      <c r="Q101">
        <v>246</v>
      </c>
    </row>
    <row r="102" spans="1:17" x14ac:dyDescent="0.25">
      <c r="A102">
        <v>91</v>
      </c>
      <c r="B102" t="str">
        <f t="shared" si="1"/>
        <v>Puerto Lindo o Garrote</v>
      </c>
      <c r="C102">
        <v>3</v>
      </c>
      <c r="D102" t="s">
        <v>164</v>
      </c>
      <c r="E102">
        <v>9.18634033203125</v>
      </c>
      <c r="F102">
        <v>-80.013198852539063</v>
      </c>
      <c r="G102">
        <v>241928</v>
      </c>
      <c r="H102">
        <v>304</v>
      </c>
      <c r="I102" t="s">
        <v>192</v>
      </c>
      <c r="J102">
        <v>9.4945602416992188</v>
      </c>
      <c r="K102">
        <v>-79.6427001953125</v>
      </c>
      <c r="L102">
        <v>9126</v>
      </c>
      <c r="M102">
        <v>30403</v>
      </c>
      <c r="N102" t="s">
        <v>195</v>
      </c>
      <c r="O102">
        <v>9.5859203338623047</v>
      </c>
      <c r="P102">
        <v>-79.583198547363281</v>
      </c>
      <c r="Q102">
        <v>869</v>
      </c>
    </row>
    <row r="103" spans="1:17" x14ac:dyDescent="0.25">
      <c r="A103">
        <v>92</v>
      </c>
      <c r="B103" t="str">
        <f t="shared" si="1"/>
        <v>Isla Grande</v>
      </c>
      <c r="C103">
        <v>3</v>
      </c>
      <c r="D103" t="s">
        <v>164</v>
      </c>
      <c r="E103">
        <v>9.18634033203125</v>
      </c>
      <c r="F103">
        <v>-80.013198852539063</v>
      </c>
      <c r="G103">
        <v>241928</v>
      </c>
      <c r="H103">
        <v>304</v>
      </c>
      <c r="I103" t="s">
        <v>192</v>
      </c>
      <c r="J103">
        <v>9.4945602416992188</v>
      </c>
      <c r="K103">
        <v>-79.6427001953125</v>
      </c>
      <c r="L103">
        <v>9126</v>
      </c>
      <c r="M103">
        <v>30404</v>
      </c>
      <c r="N103" t="s">
        <v>196</v>
      </c>
      <c r="O103">
        <v>9.5977602005004883</v>
      </c>
      <c r="P103">
        <v>-79.549102783203125</v>
      </c>
      <c r="Q103">
        <v>1037</v>
      </c>
    </row>
    <row r="104" spans="1:17" x14ac:dyDescent="0.25">
      <c r="A104">
        <v>93</v>
      </c>
      <c r="B104" t="str">
        <f t="shared" si="1"/>
        <v>María Chiquita</v>
      </c>
      <c r="C104">
        <v>3</v>
      </c>
      <c r="D104" t="s">
        <v>164</v>
      </c>
      <c r="E104">
        <v>9.18634033203125</v>
      </c>
      <c r="F104">
        <v>-80.013198852539063</v>
      </c>
      <c r="G104">
        <v>241928</v>
      </c>
      <c r="H104">
        <v>304</v>
      </c>
      <c r="I104" t="s">
        <v>192</v>
      </c>
      <c r="J104">
        <v>9.4945602416992188</v>
      </c>
      <c r="K104">
        <v>-79.6427001953125</v>
      </c>
      <c r="L104">
        <v>9126</v>
      </c>
      <c r="M104">
        <v>30405</v>
      </c>
      <c r="N104" t="s">
        <v>197</v>
      </c>
      <c r="O104">
        <v>9.4075098037719727</v>
      </c>
      <c r="P104">
        <v>-79.719802856445313</v>
      </c>
      <c r="Q104">
        <v>2415</v>
      </c>
    </row>
    <row r="105" spans="1:17" x14ac:dyDescent="0.25">
      <c r="A105">
        <v>94</v>
      </c>
      <c r="B105" t="str">
        <f t="shared" si="1"/>
        <v>Palenque (Cabecera)</v>
      </c>
      <c r="C105">
        <v>3</v>
      </c>
      <c r="D105" t="s">
        <v>164</v>
      </c>
      <c r="E105">
        <v>9.18634033203125</v>
      </c>
      <c r="F105">
        <v>-80.013198852539063</v>
      </c>
      <c r="G105">
        <v>241928</v>
      </c>
      <c r="H105">
        <v>305</v>
      </c>
      <c r="I105" t="s">
        <v>198</v>
      </c>
      <c r="J105">
        <v>9.4972095489501953</v>
      </c>
      <c r="K105">
        <v>-79.30169677734375</v>
      </c>
      <c r="L105">
        <v>3436</v>
      </c>
      <c r="M105">
        <v>30501</v>
      </c>
      <c r="N105" t="s">
        <v>199</v>
      </c>
      <c r="O105">
        <v>9.4918899536132813</v>
      </c>
      <c r="P105">
        <v>-79.374496459960938</v>
      </c>
      <c r="Q105">
        <v>404</v>
      </c>
    </row>
    <row r="106" spans="1:17" x14ac:dyDescent="0.25">
      <c r="A106">
        <v>95</v>
      </c>
      <c r="B106" t="str">
        <f t="shared" si="1"/>
        <v>Cuango</v>
      </c>
      <c r="C106">
        <v>3</v>
      </c>
      <c r="D106" t="s">
        <v>164</v>
      </c>
      <c r="E106">
        <v>9.18634033203125</v>
      </c>
      <c r="F106">
        <v>-80.013198852539063</v>
      </c>
      <c r="G106">
        <v>241928</v>
      </c>
      <c r="H106">
        <v>305</v>
      </c>
      <c r="I106" t="s">
        <v>198</v>
      </c>
      <c r="J106">
        <v>9.4972095489501953</v>
      </c>
      <c r="K106">
        <v>-79.30169677734375</v>
      </c>
      <c r="L106">
        <v>3436</v>
      </c>
      <c r="M106">
        <v>30502</v>
      </c>
      <c r="N106" t="s">
        <v>200</v>
      </c>
      <c r="O106">
        <v>9.5180501937866211</v>
      </c>
      <c r="P106">
        <v>-79.321601867675781</v>
      </c>
      <c r="Q106">
        <v>442</v>
      </c>
    </row>
    <row r="107" spans="1:17" x14ac:dyDescent="0.25">
      <c r="A107">
        <v>96</v>
      </c>
      <c r="B107" t="str">
        <f t="shared" si="1"/>
        <v>Miramar</v>
      </c>
      <c r="C107">
        <v>3</v>
      </c>
      <c r="D107" t="s">
        <v>164</v>
      </c>
      <c r="E107">
        <v>9.18634033203125</v>
      </c>
      <c r="F107">
        <v>-80.013198852539063</v>
      </c>
      <c r="G107">
        <v>241928</v>
      </c>
      <c r="H107">
        <v>305</v>
      </c>
      <c r="I107" t="s">
        <v>198</v>
      </c>
      <c r="J107">
        <v>9.4972095489501953</v>
      </c>
      <c r="K107">
        <v>-79.30169677734375</v>
      </c>
      <c r="L107">
        <v>3436</v>
      </c>
      <c r="M107">
        <v>30503</v>
      </c>
      <c r="N107" t="s">
        <v>111</v>
      </c>
      <c r="O107">
        <v>9.558380126953125</v>
      </c>
      <c r="P107">
        <v>-79.3406982421875</v>
      </c>
      <c r="Q107">
        <v>201</v>
      </c>
    </row>
    <row r="108" spans="1:17" x14ac:dyDescent="0.25">
      <c r="A108">
        <v>97</v>
      </c>
      <c r="B108" t="str">
        <f t="shared" si="1"/>
        <v>Nombre de Dios</v>
      </c>
      <c r="C108">
        <v>3</v>
      </c>
      <c r="D108" t="s">
        <v>164</v>
      </c>
      <c r="E108">
        <v>9.18634033203125</v>
      </c>
      <c r="F108">
        <v>-80.013198852539063</v>
      </c>
      <c r="G108">
        <v>241928</v>
      </c>
      <c r="H108">
        <v>305</v>
      </c>
      <c r="I108" t="s">
        <v>198</v>
      </c>
      <c r="J108">
        <v>9.4972095489501953</v>
      </c>
      <c r="K108">
        <v>-79.30169677734375</v>
      </c>
      <c r="L108">
        <v>3436</v>
      </c>
      <c r="M108">
        <v>30504</v>
      </c>
      <c r="N108" t="s">
        <v>201</v>
      </c>
      <c r="O108">
        <v>9.5416498184204102</v>
      </c>
      <c r="P108">
        <v>-79.480499267578125</v>
      </c>
      <c r="Q108">
        <v>1130</v>
      </c>
    </row>
    <row r="109" spans="1:17" x14ac:dyDescent="0.25">
      <c r="A109">
        <v>98</v>
      </c>
      <c r="B109" t="str">
        <f t="shared" si="1"/>
        <v>Palmira</v>
      </c>
      <c r="C109">
        <v>3</v>
      </c>
      <c r="D109" t="s">
        <v>164</v>
      </c>
      <c r="E109">
        <v>9.18634033203125</v>
      </c>
      <c r="F109">
        <v>-80.013198852539063</v>
      </c>
      <c r="G109">
        <v>241928</v>
      </c>
      <c r="H109">
        <v>305</v>
      </c>
      <c r="I109" t="s">
        <v>198</v>
      </c>
      <c r="J109">
        <v>9.4972095489501953</v>
      </c>
      <c r="K109">
        <v>-79.30169677734375</v>
      </c>
      <c r="L109">
        <v>3436</v>
      </c>
      <c r="M109">
        <v>30505</v>
      </c>
      <c r="N109" t="s">
        <v>202</v>
      </c>
      <c r="O109">
        <v>9.4516496658325195</v>
      </c>
      <c r="P109">
        <v>-79.21820068359375</v>
      </c>
      <c r="Q109">
        <v>319</v>
      </c>
    </row>
    <row r="110" spans="1:17" x14ac:dyDescent="0.25">
      <c r="A110">
        <v>99</v>
      </c>
      <c r="B110" t="str">
        <f t="shared" si="1"/>
        <v>Playa Chiquita</v>
      </c>
      <c r="C110">
        <v>3</v>
      </c>
      <c r="D110" t="s">
        <v>164</v>
      </c>
      <c r="E110">
        <v>9.18634033203125</v>
      </c>
      <c r="F110">
        <v>-80.013198852539063</v>
      </c>
      <c r="G110">
        <v>241928</v>
      </c>
      <c r="H110">
        <v>305</v>
      </c>
      <c r="I110" t="s">
        <v>198</v>
      </c>
      <c r="J110">
        <v>9.4972095489501953</v>
      </c>
      <c r="K110">
        <v>-79.30169677734375</v>
      </c>
      <c r="L110">
        <v>3436</v>
      </c>
      <c r="M110">
        <v>30506</v>
      </c>
      <c r="N110" t="s">
        <v>203</v>
      </c>
      <c r="O110">
        <v>9.4756298065185547</v>
      </c>
      <c r="P110">
        <v>-79.301101684570313</v>
      </c>
      <c r="Q110">
        <v>169</v>
      </c>
    </row>
    <row r="111" spans="1:17" x14ac:dyDescent="0.25">
      <c r="A111">
        <v>100</v>
      </c>
      <c r="B111" t="str">
        <f t="shared" si="1"/>
        <v>Santa Isabel</v>
      </c>
      <c r="C111">
        <v>3</v>
      </c>
      <c r="D111" t="s">
        <v>164</v>
      </c>
      <c r="E111">
        <v>9.18634033203125</v>
      </c>
      <c r="F111">
        <v>-80.013198852539063</v>
      </c>
      <c r="G111">
        <v>241928</v>
      </c>
      <c r="H111">
        <v>305</v>
      </c>
      <c r="I111" t="s">
        <v>198</v>
      </c>
      <c r="J111">
        <v>9.4972095489501953</v>
      </c>
      <c r="K111">
        <v>-79.30169677734375</v>
      </c>
      <c r="L111">
        <v>3436</v>
      </c>
      <c r="M111">
        <v>30507</v>
      </c>
      <c r="N111" t="s">
        <v>198</v>
      </c>
      <c r="O111">
        <v>9.5020904541015625</v>
      </c>
      <c r="P111">
        <v>-79.137901306152344</v>
      </c>
      <c r="Q111">
        <v>284</v>
      </c>
    </row>
    <row r="112" spans="1:17" x14ac:dyDescent="0.25">
      <c r="A112">
        <v>101</v>
      </c>
      <c r="B112" t="str">
        <f t="shared" si="1"/>
        <v>Viento Frío</v>
      </c>
      <c r="C112">
        <v>3</v>
      </c>
      <c r="D112" t="s">
        <v>164</v>
      </c>
      <c r="E112">
        <v>9.18634033203125</v>
      </c>
      <c r="F112">
        <v>-80.013198852539063</v>
      </c>
      <c r="G112">
        <v>241928</v>
      </c>
      <c r="H112">
        <v>305</v>
      </c>
      <c r="I112" t="s">
        <v>198</v>
      </c>
      <c r="J112">
        <v>9.4972095489501953</v>
      </c>
      <c r="K112">
        <v>-79.30169677734375</v>
      </c>
      <c r="L112">
        <v>3436</v>
      </c>
      <c r="M112">
        <v>30508</v>
      </c>
      <c r="N112" t="s">
        <v>204</v>
      </c>
      <c r="O112">
        <v>9.5429897308349609</v>
      </c>
      <c r="P112">
        <v>-79.400596618652344</v>
      </c>
      <c r="Q112">
        <v>487</v>
      </c>
    </row>
    <row r="113" spans="1:17" x14ac:dyDescent="0.25">
      <c r="A113">
        <v>102</v>
      </c>
      <c r="B113" t="str">
        <f t="shared" si="1"/>
        <v>Alanje (Cabecera)</v>
      </c>
      <c r="C113">
        <v>4</v>
      </c>
      <c r="D113" t="s">
        <v>205</v>
      </c>
      <c r="E113">
        <v>8.4871597290039063</v>
      </c>
      <c r="F113">
        <v>-82.403701782226563</v>
      </c>
      <c r="G113">
        <v>416873</v>
      </c>
      <c r="H113">
        <v>401</v>
      </c>
      <c r="I113" t="s">
        <v>206</v>
      </c>
      <c r="J113">
        <v>8.379460334777832</v>
      </c>
      <c r="K113">
        <v>-82.618400573730469</v>
      </c>
      <c r="L113">
        <v>16508</v>
      </c>
      <c r="M113">
        <v>40101</v>
      </c>
      <c r="N113" t="s">
        <v>207</v>
      </c>
      <c r="O113">
        <v>8.4027595520019531</v>
      </c>
      <c r="P113">
        <v>-82.559097290039063</v>
      </c>
      <c r="Q113">
        <v>2406</v>
      </c>
    </row>
    <row r="114" spans="1:17" x14ac:dyDescent="0.25">
      <c r="A114">
        <v>103</v>
      </c>
      <c r="B114" t="str">
        <f t="shared" si="1"/>
        <v>Divalá</v>
      </c>
      <c r="C114">
        <v>4</v>
      </c>
      <c r="D114" t="s">
        <v>205</v>
      </c>
      <c r="E114">
        <v>8.4871597290039063</v>
      </c>
      <c r="F114">
        <v>-82.403701782226563</v>
      </c>
      <c r="G114">
        <v>416873</v>
      </c>
      <c r="H114">
        <v>401</v>
      </c>
      <c r="I114" t="s">
        <v>206</v>
      </c>
      <c r="J114">
        <v>8.379460334777832</v>
      </c>
      <c r="K114">
        <v>-82.618400573730469</v>
      </c>
      <c r="L114">
        <v>16508</v>
      </c>
      <c r="M114">
        <v>40102</v>
      </c>
      <c r="N114" t="s">
        <v>208</v>
      </c>
      <c r="O114">
        <v>8.4027595520019531</v>
      </c>
      <c r="P114">
        <v>-82.687202453613281</v>
      </c>
      <c r="Q114">
        <v>3457</v>
      </c>
    </row>
    <row r="115" spans="1:17" x14ac:dyDescent="0.25">
      <c r="A115">
        <v>104</v>
      </c>
      <c r="B115" t="str">
        <f t="shared" si="1"/>
        <v>El Tejar</v>
      </c>
      <c r="C115">
        <v>4</v>
      </c>
      <c r="D115" t="s">
        <v>205</v>
      </c>
      <c r="E115">
        <v>8.4871597290039063</v>
      </c>
      <c r="F115">
        <v>-82.403701782226563</v>
      </c>
      <c r="G115">
        <v>416873</v>
      </c>
      <c r="H115">
        <v>401</v>
      </c>
      <c r="I115" t="s">
        <v>206</v>
      </c>
      <c r="J115">
        <v>8.379460334777832</v>
      </c>
      <c r="K115">
        <v>-82.618400573730469</v>
      </c>
      <c r="L115">
        <v>16508</v>
      </c>
      <c r="M115">
        <v>40103</v>
      </c>
      <c r="N115" t="s">
        <v>209</v>
      </c>
      <c r="O115">
        <v>8.4359502792358398</v>
      </c>
      <c r="P115">
        <v>-82.566299438476563</v>
      </c>
      <c r="Q115">
        <v>1961</v>
      </c>
    </row>
    <row r="116" spans="1:17" x14ac:dyDescent="0.25">
      <c r="A116">
        <v>105</v>
      </c>
      <c r="B116" t="str">
        <f t="shared" si="1"/>
        <v>Guarumal</v>
      </c>
      <c r="C116">
        <v>4</v>
      </c>
      <c r="D116" t="s">
        <v>205</v>
      </c>
      <c r="E116">
        <v>8.4871597290039063</v>
      </c>
      <c r="F116">
        <v>-82.403701782226563</v>
      </c>
      <c r="G116">
        <v>416873</v>
      </c>
      <c r="H116">
        <v>401</v>
      </c>
      <c r="I116" t="s">
        <v>206</v>
      </c>
      <c r="J116">
        <v>8.379460334777832</v>
      </c>
      <c r="K116">
        <v>-82.618400573730469</v>
      </c>
      <c r="L116">
        <v>16508</v>
      </c>
      <c r="M116">
        <v>40104</v>
      </c>
      <c r="N116" t="s">
        <v>210</v>
      </c>
      <c r="O116">
        <v>8.3268699645996094</v>
      </c>
      <c r="P116">
        <v>-82.535697937011719</v>
      </c>
      <c r="Q116">
        <v>2418</v>
      </c>
    </row>
    <row r="117" spans="1:17" x14ac:dyDescent="0.25">
      <c r="A117">
        <v>106</v>
      </c>
      <c r="B117" t="str">
        <f t="shared" si="1"/>
        <v>Palo Grande</v>
      </c>
      <c r="C117">
        <v>4</v>
      </c>
      <c r="D117" t="s">
        <v>205</v>
      </c>
      <c r="E117">
        <v>8.4871597290039063</v>
      </c>
      <c r="F117">
        <v>-82.403701782226563</v>
      </c>
      <c r="G117">
        <v>416873</v>
      </c>
      <c r="H117">
        <v>401</v>
      </c>
      <c r="I117" t="s">
        <v>206</v>
      </c>
      <c r="J117">
        <v>8.379460334777832</v>
      </c>
      <c r="K117">
        <v>-82.618400573730469</v>
      </c>
      <c r="L117">
        <v>16508</v>
      </c>
      <c r="M117">
        <v>40105</v>
      </c>
      <c r="N117" t="s">
        <v>211</v>
      </c>
      <c r="O117">
        <v>8.3478498458862305</v>
      </c>
      <c r="P117">
        <v>-82.602798461914063</v>
      </c>
      <c r="Q117">
        <v>578</v>
      </c>
    </row>
    <row r="118" spans="1:17" x14ac:dyDescent="0.25">
      <c r="A118">
        <v>107</v>
      </c>
      <c r="B118" t="str">
        <f t="shared" si="1"/>
        <v>Querévalo</v>
      </c>
      <c r="C118">
        <v>4</v>
      </c>
      <c r="D118" t="s">
        <v>205</v>
      </c>
      <c r="E118">
        <v>8.4871597290039063</v>
      </c>
      <c r="F118">
        <v>-82.403701782226563</v>
      </c>
      <c r="G118">
        <v>416873</v>
      </c>
      <c r="H118">
        <v>401</v>
      </c>
      <c r="I118" t="s">
        <v>206</v>
      </c>
      <c r="J118">
        <v>8.379460334777832</v>
      </c>
      <c r="K118">
        <v>-82.618400573730469</v>
      </c>
      <c r="L118">
        <v>16508</v>
      </c>
      <c r="M118">
        <v>40106</v>
      </c>
      <c r="N118" t="s">
        <v>212</v>
      </c>
      <c r="O118">
        <v>8.3469295501708984</v>
      </c>
      <c r="P118">
        <v>-82.50250244140625</v>
      </c>
      <c r="Q118">
        <v>1751</v>
      </c>
    </row>
    <row r="119" spans="1:17" x14ac:dyDescent="0.25">
      <c r="A119">
        <v>108</v>
      </c>
      <c r="B119" t="str">
        <f t="shared" si="1"/>
        <v>Santo Tomás</v>
      </c>
      <c r="C119">
        <v>4</v>
      </c>
      <c r="D119" t="s">
        <v>205</v>
      </c>
      <c r="E119">
        <v>8.4871597290039063</v>
      </c>
      <c r="F119">
        <v>-82.403701782226563</v>
      </c>
      <c r="G119">
        <v>416873</v>
      </c>
      <c r="H119">
        <v>401</v>
      </c>
      <c r="I119" t="s">
        <v>206</v>
      </c>
      <c r="J119">
        <v>8.379460334777832</v>
      </c>
      <c r="K119">
        <v>-82.618400573730469</v>
      </c>
      <c r="L119">
        <v>16508</v>
      </c>
      <c r="M119">
        <v>40107</v>
      </c>
      <c r="N119" t="s">
        <v>213</v>
      </c>
      <c r="O119">
        <v>8.3909902572631836</v>
      </c>
      <c r="P119">
        <v>-82.654197692871094</v>
      </c>
      <c r="Q119">
        <v>1259</v>
      </c>
    </row>
    <row r="120" spans="1:17" x14ac:dyDescent="0.25">
      <c r="A120">
        <v>109</v>
      </c>
      <c r="B120" t="str">
        <f t="shared" si="1"/>
        <v>Canta Gallo</v>
      </c>
      <c r="C120">
        <v>4</v>
      </c>
      <c r="D120" t="s">
        <v>205</v>
      </c>
      <c r="E120">
        <v>8.4871597290039063</v>
      </c>
      <c r="F120">
        <v>-82.403701782226563</v>
      </c>
      <c r="G120">
        <v>416873</v>
      </c>
      <c r="H120">
        <v>401</v>
      </c>
      <c r="I120" t="s">
        <v>206</v>
      </c>
      <c r="J120">
        <v>8.379460334777832</v>
      </c>
      <c r="K120">
        <v>-82.618400573730469</v>
      </c>
      <c r="L120">
        <v>16508</v>
      </c>
      <c r="M120">
        <v>40108</v>
      </c>
      <c r="N120" t="s">
        <v>214</v>
      </c>
      <c r="O120">
        <v>8.3842802047729492</v>
      </c>
      <c r="P120">
        <v>-82.622001647949219</v>
      </c>
      <c r="Q120">
        <v>577</v>
      </c>
    </row>
    <row r="121" spans="1:17" x14ac:dyDescent="0.25">
      <c r="A121">
        <v>110</v>
      </c>
      <c r="B121" t="str">
        <f t="shared" si="1"/>
        <v>Nuevo México</v>
      </c>
      <c r="C121">
        <v>4</v>
      </c>
      <c r="D121" t="s">
        <v>205</v>
      </c>
      <c r="E121">
        <v>8.4871597290039063</v>
      </c>
      <c r="F121">
        <v>-82.403701782226563</v>
      </c>
      <c r="G121">
        <v>416873</v>
      </c>
      <c r="H121">
        <v>401</v>
      </c>
      <c r="I121" t="s">
        <v>206</v>
      </c>
      <c r="J121">
        <v>8.379460334777832</v>
      </c>
      <c r="K121">
        <v>-82.618400573730469</v>
      </c>
      <c r="L121">
        <v>16508</v>
      </c>
      <c r="M121">
        <v>40109</v>
      </c>
      <c r="N121" t="s">
        <v>215</v>
      </c>
      <c r="O121">
        <v>8.4138603210449219</v>
      </c>
      <c r="P121">
        <v>-82.742301940917969</v>
      </c>
      <c r="Q121">
        <v>2101</v>
      </c>
    </row>
    <row r="122" spans="1:17" x14ac:dyDescent="0.25">
      <c r="A122">
        <v>111</v>
      </c>
      <c r="B122" t="str">
        <f t="shared" si="1"/>
        <v>Puerto Armuelles (Cabecera)</v>
      </c>
      <c r="C122">
        <v>4</v>
      </c>
      <c r="D122" t="s">
        <v>205</v>
      </c>
      <c r="E122">
        <v>8.4871597290039063</v>
      </c>
      <c r="F122">
        <v>-82.403701782226563</v>
      </c>
      <c r="G122">
        <v>416873</v>
      </c>
      <c r="H122">
        <v>402</v>
      </c>
      <c r="I122" t="s">
        <v>216</v>
      </c>
      <c r="J122">
        <v>8.3222904205322266</v>
      </c>
      <c r="K122">
        <v>-82.881103515625</v>
      </c>
      <c r="L122">
        <v>55775</v>
      </c>
      <c r="M122">
        <v>40201</v>
      </c>
      <c r="N122" t="s">
        <v>217</v>
      </c>
      <c r="O122">
        <v>8.286529541015625</v>
      </c>
      <c r="P122">
        <v>-82.918899536132813</v>
      </c>
      <c r="Q122">
        <v>20455</v>
      </c>
    </row>
    <row r="123" spans="1:17" x14ac:dyDescent="0.25">
      <c r="A123">
        <v>112</v>
      </c>
      <c r="B123" t="str">
        <f t="shared" si="1"/>
        <v>Limones</v>
      </c>
      <c r="C123">
        <v>4</v>
      </c>
      <c r="D123" t="s">
        <v>205</v>
      </c>
      <c r="E123">
        <v>8.4871597290039063</v>
      </c>
      <c r="F123">
        <v>-82.403701782226563</v>
      </c>
      <c r="G123">
        <v>416873</v>
      </c>
      <c r="H123">
        <v>402</v>
      </c>
      <c r="I123" t="s">
        <v>216</v>
      </c>
      <c r="J123">
        <v>8.3222904205322266</v>
      </c>
      <c r="K123">
        <v>-82.881103515625</v>
      </c>
      <c r="L123">
        <v>55775</v>
      </c>
      <c r="M123">
        <v>40202</v>
      </c>
      <c r="N123" t="s">
        <v>218</v>
      </c>
      <c r="O123">
        <v>8.1067304611206055</v>
      </c>
      <c r="P123">
        <v>-82.882698059082031</v>
      </c>
      <c r="Q123">
        <v>1040</v>
      </c>
    </row>
    <row r="124" spans="1:17" x14ac:dyDescent="0.25">
      <c r="A124">
        <v>113</v>
      </c>
      <c r="B124" t="str">
        <f t="shared" si="1"/>
        <v>Progreso</v>
      </c>
      <c r="C124">
        <v>4</v>
      </c>
      <c r="D124" t="s">
        <v>205</v>
      </c>
      <c r="E124">
        <v>8.4871597290039063</v>
      </c>
      <c r="F124">
        <v>-82.403701782226563</v>
      </c>
      <c r="G124">
        <v>416873</v>
      </c>
      <c r="H124">
        <v>402</v>
      </c>
      <c r="I124" t="s">
        <v>216</v>
      </c>
      <c r="J124">
        <v>8.3222904205322266</v>
      </c>
      <c r="K124">
        <v>-82.881103515625</v>
      </c>
      <c r="L124">
        <v>55775</v>
      </c>
      <c r="M124">
        <v>40203</v>
      </c>
      <c r="N124" t="s">
        <v>219</v>
      </c>
      <c r="O124">
        <v>8.4591102600097656</v>
      </c>
      <c r="P124">
        <v>-82.832603454589844</v>
      </c>
      <c r="Q124">
        <v>11402</v>
      </c>
    </row>
    <row r="125" spans="1:17" x14ac:dyDescent="0.25">
      <c r="A125">
        <v>114</v>
      </c>
      <c r="B125" t="str">
        <f t="shared" si="1"/>
        <v>Baco</v>
      </c>
      <c r="C125">
        <v>4</v>
      </c>
      <c r="D125" t="s">
        <v>205</v>
      </c>
      <c r="E125">
        <v>8.4871597290039063</v>
      </c>
      <c r="F125">
        <v>-82.403701782226563</v>
      </c>
      <c r="G125">
        <v>416873</v>
      </c>
      <c r="H125">
        <v>402</v>
      </c>
      <c r="I125" t="s">
        <v>216</v>
      </c>
      <c r="J125">
        <v>8.3222904205322266</v>
      </c>
      <c r="K125">
        <v>-82.881103515625</v>
      </c>
      <c r="L125">
        <v>55775</v>
      </c>
      <c r="M125">
        <v>40204</v>
      </c>
      <c r="N125" t="s">
        <v>220</v>
      </c>
      <c r="O125">
        <v>8.3662996292114258</v>
      </c>
      <c r="P125">
        <v>-82.771598815917969</v>
      </c>
      <c r="Q125">
        <v>7334</v>
      </c>
    </row>
    <row r="126" spans="1:17" x14ac:dyDescent="0.25">
      <c r="A126">
        <v>115</v>
      </c>
      <c r="B126" t="str">
        <f t="shared" si="1"/>
        <v>Rodolfo Aguilar Delgado</v>
      </c>
      <c r="C126">
        <v>4</v>
      </c>
      <c r="D126" t="s">
        <v>205</v>
      </c>
      <c r="E126">
        <v>8.4871597290039063</v>
      </c>
      <c r="F126">
        <v>-82.403701782226563</v>
      </c>
      <c r="G126">
        <v>416873</v>
      </c>
      <c r="H126">
        <v>402</v>
      </c>
      <c r="I126" t="s">
        <v>216</v>
      </c>
      <c r="J126">
        <v>8.3222904205322266</v>
      </c>
      <c r="K126">
        <v>-82.881103515625</v>
      </c>
      <c r="L126">
        <v>55775</v>
      </c>
      <c r="M126">
        <v>40205</v>
      </c>
      <c r="N126" t="s">
        <v>221</v>
      </c>
      <c r="O126">
        <v>8.3701095581054688</v>
      </c>
      <c r="P126">
        <v>-82.894203186035156</v>
      </c>
      <c r="Q126">
        <v>15544</v>
      </c>
    </row>
    <row r="127" spans="1:17" x14ac:dyDescent="0.25">
      <c r="A127">
        <v>116</v>
      </c>
      <c r="B127" t="str">
        <f t="shared" si="1"/>
        <v>Boquerón (Cabecera)</v>
      </c>
      <c r="C127">
        <v>4</v>
      </c>
      <c r="D127" t="s">
        <v>205</v>
      </c>
      <c r="E127">
        <v>8.4871597290039063</v>
      </c>
      <c r="F127">
        <v>-82.403701782226563</v>
      </c>
      <c r="G127">
        <v>416873</v>
      </c>
      <c r="H127">
        <v>403</v>
      </c>
      <c r="I127" t="s">
        <v>222</v>
      </c>
      <c r="J127">
        <v>8.6161298751831055</v>
      </c>
      <c r="K127">
        <v>-82.572196960449219</v>
      </c>
      <c r="L127">
        <v>15029</v>
      </c>
      <c r="M127">
        <v>40301</v>
      </c>
      <c r="N127" t="s">
        <v>223</v>
      </c>
      <c r="O127">
        <v>8.5413398742675781</v>
      </c>
      <c r="P127">
        <v>-82.580001831054688</v>
      </c>
      <c r="Q127">
        <v>3881</v>
      </c>
    </row>
    <row r="128" spans="1:17" x14ac:dyDescent="0.25">
      <c r="A128">
        <v>117</v>
      </c>
      <c r="B128" t="str">
        <f t="shared" si="1"/>
        <v>Bágala</v>
      </c>
      <c r="C128">
        <v>4</v>
      </c>
      <c r="D128" t="s">
        <v>205</v>
      </c>
      <c r="E128">
        <v>8.4871597290039063</v>
      </c>
      <c r="F128">
        <v>-82.403701782226563</v>
      </c>
      <c r="G128">
        <v>416873</v>
      </c>
      <c r="H128">
        <v>403</v>
      </c>
      <c r="I128" t="s">
        <v>222</v>
      </c>
      <c r="J128">
        <v>8.6161298751831055</v>
      </c>
      <c r="K128">
        <v>-82.572196960449219</v>
      </c>
      <c r="L128">
        <v>15029</v>
      </c>
      <c r="M128">
        <v>40302</v>
      </c>
      <c r="N128" t="s">
        <v>224</v>
      </c>
      <c r="O128">
        <v>8.5184698104858398</v>
      </c>
      <c r="P128">
        <v>-82.541999816894531</v>
      </c>
      <c r="Q128">
        <v>2330</v>
      </c>
    </row>
    <row r="129" spans="1:17" x14ac:dyDescent="0.25">
      <c r="A129">
        <v>118</v>
      </c>
      <c r="B129" t="str">
        <f t="shared" si="1"/>
        <v>Cordillera</v>
      </c>
      <c r="C129">
        <v>4</v>
      </c>
      <c r="D129" t="s">
        <v>205</v>
      </c>
      <c r="E129">
        <v>8.4871597290039063</v>
      </c>
      <c r="F129">
        <v>-82.403701782226563</v>
      </c>
      <c r="G129">
        <v>416873</v>
      </c>
      <c r="H129">
        <v>403</v>
      </c>
      <c r="I129" t="s">
        <v>222</v>
      </c>
      <c r="J129">
        <v>8.6161298751831055</v>
      </c>
      <c r="K129">
        <v>-82.572196960449219</v>
      </c>
      <c r="L129">
        <v>15029</v>
      </c>
      <c r="M129">
        <v>40303</v>
      </c>
      <c r="N129" t="s">
        <v>225</v>
      </c>
      <c r="O129">
        <v>8.7522802352905273</v>
      </c>
      <c r="P129">
        <v>-82.596397399902344</v>
      </c>
      <c r="Q129">
        <v>590</v>
      </c>
    </row>
    <row r="130" spans="1:17" x14ac:dyDescent="0.25">
      <c r="A130">
        <v>119</v>
      </c>
      <c r="B130" t="str">
        <f t="shared" si="1"/>
        <v>Guabal</v>
      </c>
      <c r="C130">
        <v>4</v>
      </c>
      <c r="D130" t="s">
        <v>205</v>
      </c>
      <c r="E130">
        <v>8.4871597290039063</v>
      </c>
      <c r="F130">
        <v>-82.403701782226563</v>
      </c>
      <c r="G130">
        <v>416873</v>
      </c>
      <c r="H130">
        <v>403</v>
      </c>
      <c r="I130" t="s">
        <v>222</v>
      </c>
      <c r="J130">
        <v>8.6161298751831055</v>
      </c>
      <c r="K130">
        <v>-82.572196960449219</v>
      </c>
      <c r="L130">
        <v>15029</v>
      </c>
      <c r="M130">
        <v>40304</v>
      </c>
      <c r="N130" t="s">
        <v>226</v>
      </c>
      <c r="O130">
        <v>8.6119203567504883</v>
      </c>
      <c r="P130">
        <v>-82.546401977539063</v>
      </c>
      <c r="Q130">
        <v>884</v>
      </c>
    </row>
    <row r="131" spans="1:17" x14ac:dyDescent="0.25">
      <c r="A131">
        <v>120</v>
      </c>
      <c r="B131" t="str">
        <f t="shared" si="1"/>
        <v>Guayabal</v>
      </c>
      <c r="C131">
        <v>4</v>
      </c>
      <c r="D131" t="s">
        <v>205</v>
      </c>
      <c r="E131">
        <v>8.4871597290039063</v>
      </c>
      <c r="F131">
        <v>-82.403701782226563</v>
      </c>
      <c r="G131">
        <v>416873</v>
      </c>
      <c r="H131">
        <v>403</v>
      </c>
      <c r="I131" t="s">
        <v>222</v>
      </c>
      <c r="J131">
        <v>8.6161298751831055</v>
      </c>
      <c r="K131">
        <v>-82.572196960449219</v>
      </c>
      <c r="L131">
        <v>15029</v>
      </c>
      <c r="M131">
        <v>40305</v>
      </c>
      <c r="N131" t="s">
        <v>227</v>
      </c>
      <c r="O131">
        <v>8.661219596862793</v>
      </c>
      <c r="P131">
        <v>-82.568801879882813</v>
      </c>
      <c r="Q131">
        <v>2111</v>
      </c>
    </row>
    <row r="132" spans="1:17" x14ac:dyDescent="0.25">
      <c r="A132">
        <v>121</v>
      </c>
      <c r="B132" t="str">
        <f t="shared" si="1"/>
        <v>Paraíso</v>
      </c>
      <c r="C132">
        <v>4</v>
      </c>
      <c r="D132" t="s">
        <v>205</v>
      </c>
      <c r="E132">
        <v>8.4871597290039063</v>
      </c>
      <c r="F132">
        <v>-82.403701782226563</v>
      </c>
      <c r="G132">
        <v>416873</v>
      </c>
      <c r="H132">
        <v>403</v>
      </c>
      <c r="I132" t="s">
        <v>222</v>
      </c>
      <c r="J132">
        <v>8.6161298751831055</v>
      </c>
      <c r="K132">
        <v>-82.572196960449219</v>
      </c>
      <c r="L132">
        <v>15029</v>
      </c>
      <c r="M132">
        <v>40306</v>
      </c>
      <c r="N132" t="s">
        <v>228</v>
      </c>
      <c r="O132">
        <v>8.7115898132324219</v>
      </c>
      <c r="P132">
        <v>-82.583396911621094</v>
      </c>
      <c r="Q132">
        <v>429</v>
      </c>
    </row>
    <row r="133" spans="1:17" x14ac:dyDescent="0.25">
      <c r="A133">
        <v>122</v>
      </c>
      <c r="B133" t="str">
        <f t="shared" si="1"/>
        <v>Pedregal</v>
      </c>
      <c r="C133">
        <v>4</v>
      </c>
      <c r="D133" t="s">
        <v>205</v>
      </c>
      <c r="E133">
        <v>8.4871597290039063</v>
      </c>
      <c r="F133">
        <v>-82.403701782226563</v>
      </c>
      <c r="G133">
        <v>416873</v>
      </c>
      <c r="H133">
        <v>403</v>
      </c>
      <c r="I133" t="s">
        <v>222</v>
      </c>
      <c r="J133">
        <v>8.6161298751831055</v>
      </c>
      <c r="K133">
        <v>-82.572196960449219</v>
      </c>
      <c r="L133">
        <v>15029</v>
      </c>
      <c r="M133">
        <v>40307</v>
      </c>
      <c r="N133" t="s">
        <v>229</v>
      </c>
      <c r="O133">
        <v>8.4875001907348633</v>
      </c>
      <c r="P133">
        <v>-82.597396850585938</v>
      </c>
      <c r="Q133">
        <v>2134</v>
      </c>
    </row>
    <row r="134" spans="1:17" x14ac:dyDescent="0.25">
      <c r="A134">
        <v>123</v>
      </c>
      <c r="B134" t="str">
        <f t="shared" si="1"/>
        <v>Tijeras</v>
      </c>
      <c r="C134">
        <v>4</v>
      </c>
      <c r="D134" t="s">
        <v>205</v>
      </c>
      <c r="E134">
        <v>8.4871597290039063</v>
      </c>
      <c r="F134">
        <v>-82.403701782226563</v>
      </c>
      <c r="G134">
        <v>416873</v>
      </c>
      <c r="H134">
        <v>403</v>
      </c>
      <c r="I134" t="s">
        <v>222</v>
      </c>
      <c r="J134">
        <v>8.6161298751831055</v>
      </c>
      <c r="K134">
        <v>-82.572196960449219</v>
      </c>
      <c r="L134">
        <v>15029</v>
      </c>
      <c r="M134">
        <v>40308</v>
      </c>
      <c r="N134" t="s">
        <v>230</v>
      </c>
      <c r="O134">
        <v>8.471099853515625</v>
      </c>
      <c r="P134">
        <v>-82.567703247070313</v>
      </c>
      <c r="Q134">
        <v>2670</v>
      </c>
    </row>
    <row r="135" spans="1:17" x14ac:dyDescent="0.25">
      <c r="A135">
        <v>124</v>
      </c>
      <c r="B135" t="str">
        <f t="shared" si="1"/>
        <v>Boquete (Cabecera)</v>
      </c>
      <c r="C135">
        <v>4</v>
      </c>
      <c r="D135" t="s">
        <v>205</v>
      </c>
      <c r="E135">
        <v>8.4871597290039063</v>
      </c>
      <c r="F135">
        <v>-82.403701782226563</v>
      </c>
      <c r="G135">
        <v>416873</v>
      </c>
      <c r="H135">
        <v>404</v>
      </c>
      <c r="I135" t="s">
        <v>231</v>
      </c>
      <c r="J135">
        <v>8.7486495971679688</v>
      </c>
      <c r="K135">
        <v>-82.412200927734375</v>
      </c>
      <c r="L135">
        <v>21370</v>
      </c>
      <c r="M135">
        <v>40401</v>
      </c>
      <c r="N135" t="s">
        <v>232</v>
      </c>
      <c r="O135">
        <v>8.7789897918701172</v>
      </c>
      <c r="P135">
        <v>-82.457298278808594</v>
      </c>
      <c r="Q135">
        <v>4493</v>
      </c>
    </row>
    <row r="136" spans="1:17" x14ac:dyDescent="0.25">
      <c r="A136">
        <v>125</v>
      </c>
      <c r="B136" t="str">
        <f t="shared" si="1"/>
        <v>Caldera</v>
      </c>
      <c r="C136">
        <v>4</v>
      </c>
      <c r="D136" t="s">
        <v>205</v>
      </c>
      <c r="E136">
        <v>8.4871597290039063</v>
      </c>
      <c r="F136">
        <v>-82.403701782226563</v>
      </c>
      <c r="G136">
        <v>416873</v>
      </c>
      <c r="H136">
        <v>404</v>
      </c>
      <c r="I136" t="s">
        <v>231</v>
      </c>
      <c r="J136">
        <v>8.7486495971679688</v>
      </c>
      <c r="K136">
        <v>-82.412200927734375</v>
      </c>
      <c r="L136">
        <v>21370</v>
      </c>
      <c r="M136">
        <v>40402</v>
      </c>
      <c r="N136" t="s">
        <v>233</v>
      </c>
      <c r="O136">
        <v>8.7143402099609375</v>
      </c>
      <c r="P136">
        <v>-82.339897155761719</v>
      </c>
      <c r="Q136">
        <v>1560</v>
      </c>
    </row>
    <row r="137" spans="1:17" x14ac:dyDescent="0.25">
      <c r="A137">
        <v>126</v>
      </c>
      <c r="B137" t="str">
        <f t="shared" si="1"/>
        <v>Palmira</v>
      </c>
      <c r="C137">
        <v>4</v>
      </c>
      <c r="D137" t="s">
        <v>205</v>
      </c>
      <c r="E137">
        <v>8.4871597290039063</v>
      </c>
      <c r="F137">
        <v>-82.403701782226563</v>
      </c>
      <c r="G137">
        <v>416873</v>
      </c>
      <c r="H137">
        <v>404</v>
      </c>
      <c r="I137" t="s">
        <v>231</v>
      </c>
      <c r="J137">
        <v>8.7486495971679688</v>
      </c>
      <c r="K137">
        <v>-82.412200927734375</v>
      </c>
      <c r="L137">
        <v>21370</v>
      </c>
      <c r="M137">
        <v>40403</v>
      </c>
      <c r="N137" t="s">
        <v>202</v>
      </c>
      <c r="O137">
        <v>8.7617902755737305</v>
      </c>
      <c r="P137">
        <v>-82.489799499511719</v>
      </c>
      <c r="Q137">
        <v>1776</v>
      </c>
    </row>
    <row r="138" spans="1:17" x14ac:dyDescent="0.25">
      <c r="A138">
        <v>127</v>
      </c>
      <c r="B138" t="str">
        <f t="shared" si="1"/>
        <v>Alto Boquete</v>
      </c>
      <c r="C138">
        <v>4</v>
      </c>
      <c r="D138" t="s">
        <v>205</v>
      </c>
      <c r="E138">
        <v>8.4871597290039063</v>
      </c>
      <c r="F138">
        <v>-82.403701782226563</v>
      </c>
      <c r="G138">
        <v>416873</v>
      </c>
      <c r="H138">
        <v>404</v>
      </c>
      <c r="I138" t="s">
        <v>231</v>
      </c>
      <c r="J138">
        <v>8.7486495971679688</v>
      </c>
      <c r="K138">
        <v>-82.412200927734375</v>
      </c>
      <c r="L138">
        <v>21370</v>
      </c>
      <c r="M138">
        <v>40404</v>
      </c>
      <c r="N138" t="s">
        <v>234</v>
      </c>
      <c r="O138">
        <v>8.6750497817993164</v>
      </c>
      <c r="P138">
        <v>-82.422599792480469</v>
      </c>
      <c r="Q138">
        <v>6290</v>
      </c>
    </row>
    <row r="139" spans="1:17" x14ac:dyDescent="0.25">
      <c r="A139">
        <v>128</v>
      </c>
      <c r="B139" t="str">
        <f t="shared" si="1"/>
        <v>Jaramillo</v>
      </c>
      <c r="C139">
        <v>4</v>
      </c>
      <c r="D139" t="s">
        <v>205</v>
      </c>
      <c r="E139">
        <v>8.4871597290039063</v>
      </c>
      <c r="F139">
        <v>-82.403701782226563</v>
      </c>
      <c r="G139">
        <v>416873</v>
      </c>
      <c r="H139">
        <v>404</v>
      </c>
      <c r="I139" t="s">
        <v>231</v>
      </c>
      <c r="J139">
        <v>8.7486495971679688</v>
      </c>
      <c r="K139">
        <v>-82.412200927734375</v>
      </c>
      <c r="L139">
        <v>21370</v>
      </c>
      <c r="M139">
        <v>40405</v>
      </c>
      <c r="N139" t="s">
        <v>235</v>
      </c>
      <c r="O139">
        <v>8.770970344543457</v>
      </c>
      <c r="P139">
        <v>-82.380996704101563</v>
      </c>
      <c r="Q139">
        <v>2655</v>
      </c>
    </row>
    <row r="140" spans="1:17" x14ac:dyDescent="0.25">
      <c r="A140">
        <v>129</v>
      </c>
      <c r="B140" t="str">
        <f t="shared" ref="B140:B203" si="2">+N140</f>
        <v>Los Naranjos</v>
      </c>
      <c r="C140">
        <v>4</v>
      </c>
      <c r="D140" t="s">
        <v>205</v>
      </c>
      <c r="E140">
        <v>8.4871597290039063</v>
      </c>
      <c r="F140">
        <v>-82.403701782226563</v>
      </c>
      <c r="G140">
        <v>416873</v>
      </c>
      <c r="H140">
        <v>404</v>
      </c>
      <c r="I140" t="s">
        <v>231</v>
      </c>
      <c r="J140">
        <v>8.7486495971679688</v>
      </c>
      <c r="K140">
        <v>-82.412200927734375</v>
      </c>
      <c r="L140">
        <v>21370</v>
      </c>
      <c r="M140">
        <v>40406</v>
      </c>
      <c r="N140" t="s">
        <v>236</v>
      </c>
      <c r="O140">
        <v>8.8268499374389648</v>
      </c>
      <c r="P140">
        <v>-82.4718017578125</v>
      </c>
      <c r="Q140">
        <v>4596</v>
      </c>
    </row>
    <row r="141" spans="1:17" x14ac:dyDescent="0.25">
      <c r="A141">
        <v>130</v>
      </c>
      <c r="B141" t="str">
        <f t="shared" si="2"/>
        <v>La Concepción (Cabecera)</v>
      </c>
      <c r="C141">
        <v>4</v>
      </c>
      <c r="D141" t="s">
        <v>205</v>
      </c>
      <c r="E141">
        <v>8.4871597290039063</v>
      </c>
      <c r="F141">
        <v>-82.403701782226563</v>
      </c>
      <c r="G141">
        <v>416873</v>
      </c>
      <c r="H141">
        <v>405</v>
      </c>
      <c r="I141" t="s">
        <v>237</v>
      </c>
      <c r="J141">
        <v>8.5545797348022461</v>
      </c>
      <c r="K141">
        <v>-82.704696655273438</v>
      </c>
      <c r="L141">
        <v>78209</v>
      </c>
      <c r="M141">
        <v>40501</v>
      </c>
      <c r="N141" t="s">
        <v>238</v>
      </c>
      <c r="O141">
        <v>8.5626001358032227</v>
      </c>
      <c r="P141">
        <v>-82.634902954101563</v>
      </c>
      <c r="Q141">
        <v>21356</v>
      </c>
    </row>
    <row r="142" spans="1:17" x14ac:dyDescent="0.25">
      <c r="A142">
        <v>131</v>
      </c>
      <c r="B142" t="str">
        <f t="shared" si="2"/>
        <v>Aserrío de Gariché</v>
      </c>
      <c r="C142">
        <v>4</v>
      </c>
      <c r="D142" t="s">
        <v>205</v>
      </c>
      <c r="E142">
        <v>8.4871597290039063</v>
      </c>
      <c r="F142">
        <v>-82.403701782226563</v>
      </c>
      <c r="G142">
        <v>416873</v>
      </c>
      <c r="H142">
        <v>405</v>
      </c>
      <c r="I142" t="s">
        <v>237</v>
      </c>
      <c r="J142">
        <v>8.5545797348022461</v>
      </c>
      <c r="K142">
        <v>-82.704696655273438</v>
      </c>
      <c r="L142">
        <v>78209</v>
      </c>
      <c r="M142">
        <v>40502</v>
      </c>
      <c r="N142" t="s">
        <v>239</v>
      </c>
      <c r="O142">
        <v>8.4997396469116211</v>
      </c>
      <c r="P142">
        <v>-82.778999328613281</v>
      </c>
      <c r="Q142">
        <v>11072</v>
      </c>
    </row>
    <row r="143" spans="1:17" x14ac:dyDescent="0.25">
      <c r="A143">
        <v>132</v>
      </c>
      <c r="B143" t="str">
        <f t="shared" si="2"/>
        <v>Bugaba</v>
      </c>
      <c r="C143">
        <v>4</v>
      </c>
      <c r="D143" t="s">
        <v>205</v>
      </c>
      <c r="E143">
        <v>8.4871597290039063</v>
      </c>
      <c r="F143">
        <v>-82.403701782226563</v>
      </c>
      <c r="G143">
        <v>416873</v>
      </c>
      <c r="H143">
        <v>405</v>
      </c>
      <c r="I143" t="s">
        <v>237</v>
      </c>
      <c r="J143">
        <v>8.5545797348022461</v>
      </c>
      <c r="K143">
        <v>-82.704696655273438</v>
      </c>
      <c r="L143">
        <v>78209</v>
      </c>
      <c r="M143">
        <v>40503</v>
      </c>
      <c r="N143" t="s">
        <v>237</v>
      </c>
      <c r="O143">
        <v>8.4819097518920898</v>
      </c>
      <c r="P143">
        <v>-82.620903015136719</v>
      </c>
      <c r="Q143">
        <v>3718</v>
      </c>
    </row>
    <row r="144" spans="1:17" x14ac:dyDescent="0.25">
      <c r="A144">
        <v>133</v>
      </c>
      <c r="B144" t="str">
        <f t="shared" si="2"/>
        <v>Gómez</v>
      </c>
      <c r="C144">
        <v>4</v>
      </c>
      <c r="D144" t="s">
        <v>205</v>
      </c>
      <c r="E144">
        <v>8.4871597290039063</v>
      </c>
      <c r="F144">
        <v>-82.403701782226563</v>
      </c>
      <c r="G144">
        <v>416873</v>
      </c>
      <c r="H144">
        <v>405</v>
      </c>
      <c r="I144" t="s">
        <v>237</v>
      </c>
      <c r="J144">
        <v>8.5545797348022461</v>
      </c>
      <c r="K144">
        <v>-82.704696655273438</v>
      </c>
      <c r="L144">
        <v>78209</v>
      </c>
      <c r="M144">
        <v>40505</v>
      </c>
      <c r="N144" t="s">
        <v>240</v>
      </c>
      <c r="O144">
        <v>8.5682802200317383</v>
      </c>
      <c r="P144">
        <v>-82.749801635742188</v>
      </c>
      <c r="Q144">
        <v>2702</v>
      </c>
    </row>
    <row r="145" spans="1:17" x14ac:dyDescent="0.25">
      <c r="A145">
        <v>134</v>
      </c>
      <c r="B145" t="str">
        <f t="shared" si="2"/>
        <v>La Estrella</v>
      </c>
      <c r="C145">
        <v>4</v>
      </c>
      <c r="D145" t="s">
        <v>205</v>
      </c>
      <c r="E145">
        <v>8.4871597290039063</v>
      </c>
      <c r="F145">
        <v>-82.403701782226563</v>
      </c>
      <c r="G145">
        <v>416873</v>
      </c>
      <c r="H145">
        <v>405</v>
      </c>
      <c r="I145" t="s">
        <v>237</v>
      </c>
      <c r="J145">
        <v>8.5545797348022461</v>
      </c>
      <c r="K145">
        <v>-82.704696655273438</v>
      </c>
      <c r="L145">
        <v>78209</v>
      </c>
      <c r="M145">
        <v>40506</v>
      </c>
      <c r="N145" t="s">
        <v>241</v>
      </c>
      <c r="O145">
        <v>8.499079704284668</v>
      </c>
      <c r="P145">
        <v>-82.668098449707031</v>
      </c>
      <c r="Q145">
        <v>4665</v>
      </c>
    </row>
    <row r="146" spans="1:17" x14ac:dyDescent="0.25">
      <c r="A146">
        <v>135</v>
      </c>
      <c r="B146" t="str">
        <f t="shared" si="2"/>
        <v>San Andrés</v>
      </c>
      <c r="C146">
        <v>4</v>
      </c>
      <c r="D146" t="s">
        <v>205</v>
      </c>
      <c r="E146">
        <v>8.4871597290039063</v>
      </c>
      <c r="F146">
        <v>-82.403701782226563</v>
      </c>
      <c r="G146">
        <v>416873</v>
      </c>
      <c r="H146">
        <v>405</v>
      </c>
      <c r="I146" t="s">
        <v>237</v>
      </c>
      <c r="J146">
        <v>8.5545797348022461</v>
      </c>
      <c r="K146">
        <v>-82.704696655273438</v>
      </c>
      <c r="L146">
        <v>78209</v>
      </c>
      <c r="M146">
        <v>40507</v>
      </c>
      <c r="N146" t="s">
        <v>242</v>
      </c>
      <c r="O146">
        <v>8.6433696746826172</v>
      </c>
      <c r="P146">
        <v>-82.71820068359375</v>
      </c>
      <c r="Q146">
        <v>2523</v>
      </c>
    </row>
    <row r="147" spans="1:17" x14ac:dyDescent="0.25">
      <c r="A147">
        <v>136</v>
      </c>
      <c r="B147" t="str">
        <f t="shared" si="2"/>
        <v>Santa Marta</v>
      </c>
      <c r="C147">
        <v>4</v>
      </c>
      <c r="D147" t="s">
        <v>205</v>
      </c>
      <c r="E147">
        <v>8.4871597290039063</v>
      </c>
      <c r="F147">
        <v>-82.403701782226563</v>
      </c>
      <c r="G147">
        <v>416873</v>
      </c>
      <c r="H147">
        <v>405</v>
      </c>
      <c r="I147" t="s">
        <v>237</v>
      </c>
      <c r="J147">
        <v>8.5545797348022461</v>
      </c>
      <c r="K147">
        <v>-82.704696655273438</v>
      </c>
      <c r="L147">
        <v>78209</v>
      </c>
      <c r="M147">
        <v>40508</v>
      </c>
      <c r="N147" t="s">
        <v>243</v>
      </c>
      <c r="O147">
        <v>8.5154304504394531</v>
      </c>
      <c r="P147">
        <v>-82.700897216796875</v>
      </c>
      <c r="Q147">
        <v>3679</v>
      </c>
    </row>
    <row r="148" spans="1:17" x14ac:dyDescent="0.25">
      <c r="A148">
        <v>137</v>
      </c>
      <c r="B148" t="str">
        <f t="shared" si="2"/>
        <v>Santa Rosa</v>
      </c>
      <c r="C148">
        <v>4</v>
      </c>
      <c r="D148" t="s">
        <v>205</v>
      </c>
      <c r="E148">
        <v>8.4871597290039063</v>
      </c>
      <c r="F148">
        <v>-82.403701782226563</v>
      </c>
      <c r="G148">
        <v>416873</v>
      </c>
      <c r="H148">
        <v>405</v>
      </c>
      <c r="I148" t="s">
        <v>237</v>
      </c>
      <c r="J148">
        <v>8.5545797348022461</v>
      </c>
      <c r="K148">
        <v>-82.704696655273438</v>
      </c>
      <c r="L148">
        <v>78209</v>
      </c>
      <c r="M148">
        <v>40509</v>
      </c>
      <c r="N148" t="s">
        <v>177</v>
      </c>
      <c r="O148">
        <v>8.6152400970458984</v>
      </c>
      <c r="P148">
        <v>-82.677597045898438</v>
      </c>
      <c r="Q148">
        <v>1510</v>
      </c>
    </row>
    <row r="149" spans="1:17" x14ac:dyDescent="0.25">
      <c r="A149">
        <v>138</v>
      </c>
      <c r="B149" t="str">
        <f t="shared" si="2"/>
        <v>Santo Domingo</v>
      </c>
      <c r="C149">
        <v>4</v>
      </c>
      <c r="D149" t="s">
        <v>205</v>
      </c>
      <c r="E149">
        <v>8.4871597290039063</v>
      </c>
      <c r="F149">
        <v>-82.403701782226563</v>
      </c>
      <c r="G149">
        <v>416873</v>
      </c>
      <c r="H149">
        <v>405</v>
      </c>
      <c r="I149" t="s">
        <v>237</v>
      </c>
      <c r="J149">
        <v>8.5545797348022461</v>
      </c>
      <c r="K149">
        <v>-82.704696655273438</v>
      </c>
      <c r="L149">
        <v>78209</v>
      </c>
      <c r="M149">
        <v>40510</v>
      </c>
      <c r="N149" t="s">
        <v>244</v>
      </c>
      <c r="O149">
        <v>8.4881496429443359</v>
      </c>
      <c r="P149">
        <v>-82.737602233886719</v>
      </c>
      <c r="Q149">
        <v>2625</v>
      </c>
    </row>
    <row r="150" spans="1:17" x14ac:dyDescent="0.25">
      <c r="A150">
        <v>139</v>
      </c>
      <c r="B150" t="str">
        <f t="shared" si="2"/>
        <v>Sortová</v>
      </c>
      <c r="C150">
        <v>4</v>
      </c>
      <c r="D150" t="s">
        <v>205</v>
      </c>
      <c r="E150">
        <v>8.4871597290039063</v>
      </c>
      <c r="F150">
        <v>-82.403701782226563</v>
      </c>
      <c r="G150">
        <v>416873</v>
      </c>
      <c r="H150">
        <v>405</v>
      </c>
      <c r="I150" t="s">
        <v>237</v>
      </c>
      <c r="J150">
        <v>8.5545797348022461</v>
      </c>
      <c r="K150">
        <v>-82.704696655273438</v>
      </c>
      <c r="L150">
        <v>78209</v>
      </c>
      <c r="M150">
        <v>40511</v>
      </c>
      <c r="N150" t="s">
        <v>245</v>
      </c>
      <c r="O150">
        <v>8.5834999084472656</v>
      </c>
      <c r="P150">
        <v>-82.651802062988281</v>
      </c>
      <c r="Q150">
        <v>2440</v>
      </c>
    </row>
    <row r="151" spans="1:17" x14ac:dyDescent="0.25">
      <c r="A151">
        <v>140</v>
      </c>
      <c r="B151" t="str">
        <f t="shared" si="2"/>
        <v>El Bongo</v>
      </c>
      <c r="C151">
        <v>4</v>
      </c>
      <c r="D151" t="s">
        <v>205</v>
      </c>
      <c r="E151">
        <v>8.4871597290039063</v>
      </c>
      <c r="F151">
        <v>-82.403701782226563</v>
      </c>
      <c r="G151">
        <v>416873</v>
      </c>
      <c r="H151">
        <v>405</v>
      </c>
      <c r="I151" t="s">
        <v>237</v>
      </c>
      <c r="J151">
        <v>8.5545797348022461</v>
      </c>
      <c r="K151">
        <v>-82.704696655273438</v>
      </c>
      <c r="L151">
        <v>78209</v>
      </c>
      <c r="M151">
        <v>40513</v>
      </c>
      <c r="N151" t="s">
        <v>246</v>
      </c>
      <c r="O151">
        <v>8.6062803268432617</v>
      </c>
      <c r="P151">
        <v>-82.612503051757813</v>
      </c>
      <c r="Q151">
        <v>1448</v>
      </c>
    </row>
    <row r="152" spans="1:17" x14ac:dyDescent="0.25">
      <c r="A152">
        <v>141</v>
      </c>
      <c r="B152" t="str">
        <f t="shared" si="2"/>
        <v>David (Cabecera)</v>
      </c>
      <c r="C152">
        <v>4</v>
      </c>
      <c r="D152" t="s">
        <v>205</v>
      </c>
      <c r="E152">
        <v>8.4871597290039063</v>
      </c>
      <c r="F152">
        <v>-82.403701782226563</v>
      </c>
      <c r="G152">
        <v>416873</v>
      </c>
      <c r="H152">
        <v>406</v>
      </c>
      <c r="I152" t="s">
        <v>247</v>
      </c>
      <c r="J152">
        <v>8.4194097518920898</v>
      </c>
      <c r="K152">
        <v>-82.387199401855469</v>
      </c>
      <c r="L152">
        <v>144858</v>
      </c>
      <c r="M152">
        <v>40601</v>
      </c>
      <c r="N152" t="s">
        <v>248</v>
      </c>
      <c r="O152">
        <v>8.450770378112793</v>
      </c>
      <c r="P152">
        <v>-82.423301696777344</v>
      </c>
      <c r="Q152">
        <v>82907</v>
      </c>
    </row>
    <row r="153" spans="1:17" x14ac:dyDescent="0.25">
      <c r="A153">
        <v>142</v>
      </c>
      <c r="B153" t="str">
        <f t="shared" si="2"/>
        <v>Bijagual</v>
      </c>
      <c r="C153">
        <v>4</v>
      </c>
      <c r="D153" t="s">
        <v>205</v>
      </c>
      <c r="E153">
        <v>8.4871597290039063</v>
      </c>
      <c r="F153">
        <v>-82.403701782226563</v>
      </c>
      <c r="G153">
        <v>416873</v>
      </c>
      <c r="H153">
        <v>406</v>
      </c>
      <c r="I153" t="s">
        <v>247</v>
      </c>
      <c r="J153">
        <v>8.4194097518920898</v>
      </c>
      <c r="K153">
        <v>-82.387199401855469</v>
      </c>
      <c r="L153">
        <v>144858</v>
      </c>
      <c r="M153">
        <v>40602</v>
      </c>
      <c r="N153" t="s">
        <v>249</v>
      </c>
      <c r="O153">
        <v>8.5087995529174805</v>
      </c>
      <c r="P153">
        <v>-82.330703735351563</v>
      </c>
      <c r="Q153">
        <v>732</v>
      </c>
    </row>
    <row r="154" spans="1:17" x14ac:dyDescent="0.25">
      <c r="A154">
        <v>143</v>
      </c>
      <c r="B154" t="str">
        <f t="shared" si="2"/>
        <v>Cochea</v>
      </c>
      <c r="C154">
        <v>4</v>
      </c>
      <c r="D154" t="s">
        <v>205</v>
      </c>
      <c r="E154">
        <v>8.4871597290039063</v>
      </c>
      <c r="F154">
        <v>-82.403701782226563</v>
      </c>
      <c r="G154">
        <v>416873</v>
      </c>
      <c r="H154">
        <v>406</v>
      </c>
      <c r="I154" t="s">
        <v>247</v>
      </c>
      <c r="J154">
        <v>8.4194097518920898</v>
      </c>
      <c r="K154">
        <v>-82.387199401855469</v>
      </c>
      <c r="L154">
        <v>144858</v>
      </c>
      <c r="M154">
        <v>40603</v>
      </c>
      <c r="N154" t="s">
        <v>250</v>
      </c>
      <c r="O154">
        <v>8.5543298721313477</v>
      </c>
      <c r="P154">
        <v>-82.370399475097656</v>
      </c>
      <c r="Q154">
        <v>2447</v>
      </c>
    </row>
    <row r="155" spans="1:17" x14ac:dyDescent="0.25">
      <c r="A155">
        <v>144</v>
      </c>
      <c r="B155" t="str">
        <f t="shared" si="2"/>
        <v>Chiriquí</v>
      </c>
      <c r="C155">
        <v>4</v>
      </c>
      <c r="D155" t="s">
        <v>205</v>
      </c>
      <c r="E155">
        <v>8.4871597290039063</v>
      </c>
      <c r="F155">
        <v>-82.403701782226563</v>
      </c>
      <c r="G155">
        <v>416873</v>
      </c>
      <c r="H155">
        <v>406</v>
      </c>
      <c r="I155" t="s">
        <v>247</v>
      </c>
      <c r="J155">
        <v>8.4194097518920898</v>
      </c>
      <c r="K155">
        <v>-82.387199401855469</v>
      </c>
      <c r="L155">
        <v>144858</v>
      </c>
      <c r="M155">
        <v>40604</v>
      </c>
      <c r="N155" t="s">
        <v>205</v>
      </c>
      <c r="O155">
        <v>8.3701000213623047</v>
      </c>
      <c r="P155">
        <v>-82.295501708984375</v>
      </c>
      <c r="Q155">
        <v>4269</v>
      </c>
    </row>
    <row r="156" spans="1:17" x14ac:dyDescent="0.25">
      <c r="A156">
        <v>145</v>
      </c>
      <c r="B156" t="str">
        <f t="shared" si="2"/>
        <v>Guacá</v>
      </c>
      <c r="C156">
        <v>4</v>
      </c>
      <c r="D156" t="s">
        <v>205</v>
      </c>
      <c r="E156">
        <v>8.4871597290039063</v>
      </c>
      <c r="F156">
        <v>-82.403701782226563</v>
      </c>
      <c r="G156">
        <v>416873</v>
      </c>
      <c r="H156">
        <v>406</v>
      </c>
      <c r="I156" t="s">
        <v>247</v>
      </c>
      <c r="J156">
        <v>8.4194097518920898</v>
      </c>
      <c r="K156">
        <v>-82.387199401855469</v>
      </c>
      <c r="L156">
        <v>144858</v>
      </c>
      <c r="M156">
        <v>40605</v>
      </c>
      <c r="N156" t="s">
        <v>251</v>
      </c>
      <c r="O156">
        <v>8.6007003784179688</v>
      </c>
      <c r="P156">
        <v>-82.504402160644531</v>
      </c>
      <c r="Q156">
        <v>1891</v>
      </c>
    </row>
    <row r="157" spans="1:17" x14ac:dyDescent="0.25">
      <c r="A157">
        <v>146</v>
      </c>
      <c r="B157" t="str">
        <f t="shared" si="2"/>
        <v>Las Lomas</v>
      </c>
      <c r="C157">
        <v>4</v>
      </c>
      <c r="D157" t="s">
        <v>205</v>
      </c>
      <c r="E157">
        <v>8.4871597290039063</v>
      </c>
      <c r="F157">
        <v>-82.403701782226563</v>
      </c>
      <c r="G157">
        <v>416873</v>
      </c>
      <c r="H157">
        <v>406</v>
      </c>
      <c r="I157" t="s">
        <v>247</v>
      </c>
      <c r="J157">
        <v>8.4194097518920898</v>
      </c>
      <c r="K157">
        <v>-82.387199401855469</v>
      </c>
      <c r="L157">
        <v>144858</v>
      </c>
      <c r="M157">
        <v>40606</v>
      </c>
      <c r="N157" t="s">
        <v>140</v>
      </c>
      <c r="O157">
        <v>8.4426403045654297</v>
      </c>
      <c r="P157">
        <v>-82.377197265625</v>
      </c>
      <c r="Q157">
        <v>18769</v>
      </c>
    </row>
    <row r="158" spans="1:17" x14ac:dyDescent="0.25">
      <c r="A158">
        <v>147</v>
      </c>
      <c r="B158" t="str">
        <f t="shared" si="2"/>
        <v>Pedregal</v>
      </c>
      <c r="C158">
        <v>4</v>
      </c>
      <c r="D158" t="s">
        <v>205</v>
      </c>
      <c r="E158">
        <v>8.4871597290039063</v>
      </c>
      <c r="F158">
        <v>-82.403701782226563</v>
      </c>
      <c r="G158">
        <v>416873</v>
      </c>
      <c r="H158">
        <v>406</v>
      </c>
      <c r="I158" t="s">
        <v>247</v>
      </c>
      <c r="J158">
        <v>8.4194097518920898</v>
      </c>
      <c r="K158">
        <v>-82.387199401855469</v>
      </c>
      <c r="L158">
        <v>144858</v>
      </c>
      <c r="M158">
        <v>40607</v>
      </c>
      <c r="N158" t="s">
        <v>229</v>
      </c>
      <c r="O158">
        <v>8.2754697799682617</v>
      </c>
      <c r="P158">
        <v>-82.380401611328125</v>
      </c>
      <c r="Q158">
        <v>17516</v>
      </c>
    </row>
    <row r="159" spans="1:17" x14ac:dyDescent="0.25">
      <c r="A159">
        <v>148</v>
      </c>
      <c r="B159" t="str">
        <f t="shared" si="2"/>
        <v>San Carlos</v>
      </c>
      <c r="C159">
        <v>4</v>
      </c>
      <c r="D159" t="s">
        <v>205</v>
      </c>
      <c r="E159">
        <v>8.4871597290039063</v>
      </c>
      <c r="F159">
        <v>-82.403701782226563</v>
      </c>
      <c r="G159">
        <v>416873</v>
      </c>
      <c r="H159">
        <v>406</v>
      </c>
      <c r="I159" t="s">
        <v>247</v>
      </c>
      <c r="J159">
        <v>8.4194097518920898</v>
      </c>
      <c r="K159">
        <v>-82.387199401855469</v>
      </c>
      <c r="L159">
        <v>144858</v>
      </c>
      <c r="M159">
        <v>40608</v>
      </c>
      <c r="N159" t="s">
        <v>252</v>
      </c>
      <c r="O159">
        <v>8.5214300155639648</v>
      </c>
      <c r="P159">
        <v>-82.488899230957031</v>
      </c>
      <c r="Q159">
        <v>4487</v>
      </c>
    </row>
    <row r="160" spans="1:17" x14ac:dyDescent="0.25">
      <c r="A160">
        <v>149</v>
      </c>
      <c r="B160" t="str">
        <f t="shared" si="2"/>
        <v>San Pablo Nuevo</v>
      </c>
      <c r="C160">
        <v>4</v>
      </c>
      <c r="D160" t="s">
        <v>205</v>
      </c>
      <c r="E160">
        <v>8.4871597290039063</v>
      </c>
      <c r="F160">
        <v>-82.403701782226563</v>
      </c>
      <c r="G160">
        <v>416873</v>
      </c>
      <c r="H160">
        <v>406</v>
      </c>
      <c r="I160" t="s">
        <v>247</v>
      </c>
      <c r="J160">
        <v>8.4194097518920898</v>
      </c>
      <c r="K160">
        <v>-82.387199401855469</v>
      </c>
      <c r="L160">
        <v>144858</v>
      </c>
      <c r="M160">
        <v>40609</v>
      </c>
      <c r="N160" t="s">
        <v>253</v>
      </c>
      <c r="O160">
        <v>8.3903999328613281</v>
      </c>
      <c r="P160">
        <v>-82.489898681640625</v>
      </c>
      <c r="Q160">
        <v>1752</v>
      </c>
    </row>
    <row r="161" spans="1:17" x14ac:dyDescent="0.25">
      <c r="A161">
        <v>150</v>
      </c>
      <c r="B161" t="str">
        <f t="shared" si="2"/>
        <v>San Pablo Viejo</v>
      </c>
      <c r="C161">
        <v>4</v>
      </c>
      <c r="D161" t="s">
        <v>205</v>
      </c>
      <c r="E161">
        <v>8.4871597290039063</v>
      </c>
      <c r="F161">
        <v>-82.403701782226563</v>
      </c>
      <c r="G161">
        <v>416873</v>
      </c>
      <c r="H161">
        <v>406</v>
      </c>
      <c r="I161" t="s">
        <v>247</v>
      </c>
      <c r="J161">
        <v>8.4194097518920898</v>
      </c>
      <c r="K161">
        <v>-82.387199401855469</v>
      </c>
      <c r="L161">
        <v>144858</v>
      </c>
      <c r="M161">
        <v>40610</v>
      </c>
      <c r="N161" t="s">
        <v>254</v>
      </c>
      <c r="O161">
        <v>8.4612503051757813</v>
      </c>
      <c r="P161">
        <v>-82.486602783203125</v>
      </c>
      <c r="Q161">
        <v>10088</v>
      </c>
    </row>
    <row r="162" spans="1:17" x14ac:dyDescent="0.25">
      <c r="A162">
        <v>151</v>
      </c>
      <c r="B162" t="str">
        <f t="shared" si="2"/>
        <v>Dolega (Cabecera)</v>
      </c>
      <c r="C162">
        <v>4</v>
      </c>
      <c r="D162" t="s">
        <v>205</v>
      </c>
      <c r="E162">
        <v>8.4871597290039063</v>
      </c>
      <c r="F162">
        <v>-82.403701782226563</v>
      </c>
      <c r="G162">
        <v>416873</v>
      </c>
      <c r="H162">
        <v>407</v>
      </c>
      <c r="I162" t="s">
        <v>255</v>
      </c>
      <c r="J162">
        <v>8.6232995986938477</v>
      </c>
      <c r="K162">
        <v>-82.467002868652344</v>
      </c>
      <c r="L162">
        <v>25102</v>
      </c>
      <c r="M162">
        <v>40701</v>
      </c>
      <c r="N162" t="s">
        <v>256</v>
      </c>
      <c r="O162">
        <v>8.5740499496459961</v>
      </c>
      <c r="P162">
        <v>-82.427101135253906</v>
      </c>
      <c r="Q162">
        <v>4074</v>
      </c>
    </row>
    <row r="163" spans="1:17" x14ac:dyDescent="0.25">
      <c r="A163">
        <v>152</v>
      </c>
      <c r="B163" t="str">
        <f t="shared" si="2"/>
        <v>Dos Ríos</v>
      </c>
      <c r="C163">
        <v>4</v>
      </c>
      <c r="D163" t="s">
        <v>205</v>
      </c>
      <c r="E163">
        <v>8.4871597290039063</v>
      </c>
      <c r="F163">
        <v>-82.403701782226563</v>
      </c>
      <c r="G163">
        <v>416873</v>
      </c>
      <c r="H163">
        <v>407</v>
      </c>
      <c r="I163" t="s">
        <v>255</v>
      </c>
      <c r="J163">
        <v>8.6232995986938477</v>
      </c>
      <c r="K163">
        <v>-82.467002868652344</v>
      </c>
      <c r="L163">
        <v>25102</v>
      </c>
      <c r="M163">
        <v>40702</v>
      </c>
      <c r="N163" t="s">
        <v>257</v>
      </c>
      <c r="O163">
        <v>8.5351600646972656</v>
      </c>
      <c r="P163">
        <v>-82.389801025390625</v>
      </c>
      <c r="Q163">
        <v>1634</v>
      </c>
    </row>
    <row r="164" spans="1:17" x14ac:dyDescent="0.25">
      <c r="A164">
        <v>153</v>
      </c>
      <c r="B164" t="str">
        <f t="shared" si="2"/>
        <v>Los Anastacios</v>
      </c>
      <c r="C164">
        <v>4</v>
      </c>
      <c r="D164" t="s">
        <v>205</v>
      </c>
      <c r="E164">
        <v>8.4871597290039063</v>
      </c>
      <c r="F164">
        <v>-82.403701782226563</v>
      </c>
      <c r="G164">
        <v>416873</v>
      </c>
      <c r="H164">
        <v>407</v>
      </c>
      <c r="I164" t="s">
        <v>255</v>
      </c>
      <c r="J164">
        <v>8.6232995986938477</v>
      </c>
      <c r="K164">
        <v>-82.467002868652344</v>
      </c>
      <c r="L164">
        <v>25102</v>
      </c>
      <c r="M164">
        <v>40703</v>
      </c>
      <c r="N164" t="s">
        <v>258</v>
      </c>
      <c r="O164">
        <v>8.5325403213500977</v>
      </c>
      <c r="P164">
        <v>-82.415000915527344</v>
      </c>
      <c r="Q164">
        <v>3236</v>
      </c>
    </row>
    <row r="165" spans="1:17" x14ac:dyDescent="0.25">
      <c r="A165">
        <v>154</v>
      </c>
      <c r="B165" t="str">
        <f t="shared" si="2"/>
        <v>Potrerillos</v>
      </c>
      <c r="C165">
        <v>4</v>
      </c>
      <c r="D165" t="s">
        <v>205</v>
      </c>
      <c r="E165">
        <v>8.4871597290039063</v>
      </c>
      <c r="F165">
        <v>-82.403701782226563</v>
      </c>
      <c r="G165">
        <v>416873</v>
      </c>
      <c r="H165">
        <v>407</v>
      </c>
      <c r="I165" t="s">
        <v>255</v>
      </c>
      <c r="J165">
        <v>8.6232995986938477</v>
      </c>
      <c r="K165">
        <v>-82.467002868652344</v>
      </c>
      <c r="L165">
        <v>25102</v>
      </c>
      <c r="M165">
        <v>40704</v>
      </c>
      <c r="N165" t="s">
        <v>259</v>
      </c>
      <c r="O165">
        <v>8.7143802642822266</v>
      </c>
      <c r="P165">
        <v>-82.494400024414063</v>
      </c>
      <c r="Q165">
        <v>1562</v>
      </c>
    </row>
    <row r="166" spans="1:17" x14ac:dyDescent="0.25">
      <c r="A166">
        <v>155</v>
      </c>
      <c r="B166" t="str">
        <f t="shared" si="2"/>
        <v>Potrerillos Abajo</v>
      </c>
      <c r="C166">
        <v>4</v>
      </c>
      <c r="D166" t="s">
        <v>205</v>
      </c>
      <c r="E166">
        <v>8.4871597290039063</v>
      </c>
      <c r="F166">
        <v>-82.403701782226563</v>
      </c>
      <c r="G166">
        <v>416873</v>
      </c>
      <c r="H166">
        <v>407</v>
      </c>
      <c r="I166" t="s">
        <v>255</v>
      </c>
      <c r="J166">
        <v>8.6232995986938477</v>
      </c>
      <c r="K166">
        <v>-82.467002868652344</v>
      </c>
      <c r="L166">
        <v>25102</v>
      </c>
      <c r="M166">
        <v>40705</v>
      </c>
      <c r="N166" t="s">
        <v>260</v>
      </c>
      <c r="O166">
        <v>8.6371297836303711</v>
      </c>
      <c r="P166">
        <v>-82.466903686523438</v>
      </c>
      <c r="Q166">
        <v>1815</v>
      </c>
    </row>
    <row r="167" spans="1:17" x14ac:dyDescent="0.25">
      <c r="A167">
        <v>156</v>
      </c>
      <c r="B167" t="str">
        <f t="shared" si="2"/>
        <v>Rovira</v>
      </c>
      <c r="C167">
        <v>4</v>
      </c>
      <c r="D167" t="s">
        <v>205</v>
      </c>
      <c r="E167">
        <v>8.4871597290039063</v>
      </c>
      <c r="F167">
        <v>-82.403701782226563</v>
      </c>
      <c r="G167">
        <v>416873</v>
      </c>
      <c r="H167">
        <v>407</v>
      </c>
      <c r="I167" t="s">
        <v>255</v>
      </c>
      <c r="J167">
        <v>8.6232995986938477</v>
      </c>
      <c r="K167">
        <v>-82.467002868652344</v>
      </c>
      <c r="L167">
        <v>25102</v>
      </c>
      <c r="M167">
        <v>40706</v>
      </c>
      <c r="N167" t="s">
        <v>261</v>
      </c>
      <c r="O167">
        <v>8.6841697692871094</v>
      </c>
      <c r="P167">
        <v>-82.517997741699219</v>
      </c>
      <c r="Q167">
        <v>1925</v>
      </c>
    </row>
    <row r="168" spans="1:17" x14ac:dyDescent="0.25">
      <c r="A168">
        <v>157</v>
      </c>
      <c r="B168" t="str">
        <f t="shared" si="2"/>
        <v>Tinajas</v>
      </c>
      <c r="C168">
        <v>4</v>
      </c>
      <c r="D168" t="s">
        <v>205</v>
      </c>
      <c r="E168">
        <v>8.4871597290039063</v>
      </c>
      <c r="F168">
        <v>-82.403701782226563</v>
      </c>
      <c r="G168">
        <v>416873</v>
      </c>
      <c r="H168">
        <v>407</v>
      </c>
      <c r="I168" t="s">
        <v>255</v>
      </c>
      <c r="J168">
        <v>8.6232995986938477</v>
      </c>
      <c r="K168">
        <v>-82.467002868652344</v>
      </c>
      <c r="L168">
        <v>25102</v>
      </c>
      <c r="M168">
        <v>40707</v>
      </c>
      <c r="N168" t="s">
        <v>262</v>
      </c>
      <c r="O168">
        <v>8.5693902969360352</v>
      </c>
      <c r="P168">
        <v>-82.471702575683594</v>
      </c>
      <c r="Q168">
        <v>1530</v>
      </c>
    </row>
    <row r="169" spans="1:17" x14ac:dyDescent="0.25">
      <c r="A169">
        <v>158</v>
      </c>
      <c r="B169" t="str">
        <f t="shared" si="2"/>
        <v>Los Algarrobos</v>
      </c>
      <c r="C169">
        <v>4</v>
      </c>
      <c r="D169" t="s">
        <v>205</v>
      </c>
      <c r="E169">
        <v>8.4871597290039063</v>
      </c>
      <c r="F169">
        <v>-82.403701782226563</v>
      </c>
      <c r="G169">
        <v>416873</v>
      </c>
      <c r="H169">
        <v>407</v>
      </c>
      <c r="I169" t="s">
        <v>255</v>
      </c>
      <c r="J169">
        <v>8.6232995986938477</v>
      </c>
      <c r="K169">
        <v>-82.467002868652344</v>
      </c>
      <c r="L169">
        <v>25102</v>
      </c>
      <c r="M169">
        <v>40708</v>
      </c>
      <c r="N169" t="s">
        <v>263</v>
      </c>
      <c r="O169">
        <v>8.5330896377563477</v>
      </c>
      <c r="P169">
        <v>-82.436203002929688</v>
      </c>
      <c r="Q169">
        <v>9326</v>
      </c>
    </row>
    <row r="170" spans="1:17" x14ac:dyDescent="0.25">
      <c r="A170">
        <v>159</v>
      </c>
      <c r="B170" t="str">
        <f t="shared" si="2"/>
        <v>Gualaca</v>
      </c>
      <c r="C170">
        <v>4</v>
      </c>
      <c r="D170" t="s">
        <v>205</v>
      </c>
      <c r="E170">
        <v>8.4871597290039063</v>
      </c>
      <c r="F170">
        <v>-82.403701782226563</v>
      </c>
      <c r="G170">
        <v>416873</v>
      </c>
      <c r="H170">
        <v>408</v>
      </c>
      <c r="I170" t="s">
        <v>264</v>
      </c>
      <c r="J170">
        <v>8.6085596084594727</v>
      </c>
      <c r="K170">
        <v>-82.240196228027344</v>
      </c>
      <c r="L170">
        <v>9750</v>
      </c>
      <c r="M170">
        <v>40801</v>
      </c>
      <c r="N170" t="s">
        <v>264</v>
      </c>
      <c r="O170">
        <v>8.5818099975585938</v>
      </c>
      <c r="P170">
        <v>-82.251998901367188</v>
      </c>
      <c r="Q170">
        <v>5605</v>
      </c>
    </row>
    <row r="171" spans="1:17" x14ac:dyDescent="0.25">
      <c r="A171">
        <v>160</v>
      </c>
      <c r="B171" t="str">
        <f t="shared" si="2"/>
        <v>Hornito</v>
      </c>
      <c r="C171">
        <v>4</v>
      </c>
      <c r="D171" t="s">
        <v>205</v>
      </c>
      <c r="E171">
        <v>8.4871597290039063</v>
      </c>
      <c r="F171">
        <v>-82.403701782226563</v>
      </c>
      <c r="G171">
        <v>416873</v>
      </c>
      <c r="H171">
        <v>408</v>
      </c>
      <c r="I171" t="s">
        <v>264</v>
      </c>
      <c r="J171">
        <v>8.6085596084594727</v>
      </c>
      <c r="K171">
        <v>-82.240196228027344</v>
      </c>
      <c r="L171">
        <v>9750</v>
      </c>
      <c r="M171">
        <v>40802</v>
      </c>
      <c r="N171" t="s">
        <v>265</v>
      </c>
      <c r="O171">
        <v>8.7124300003051758</v>
      </c>
      <c r="P171">
        <v>-82.219902038574219</v>
      </c>
      <c r="Q171">
        <v>1230</v>
      </c>
    </row>
    <row r="172" spans="1:17" x14ac:dyDescent="0.25">
      <c r="A172">
        <v>161</v>
      </c>
      <c r="B172" t="str">
        <f t="shared" si="2"/>
        <v>Hornito</v>
      </c>
      <c r="C172">
        <v>4</v>
      </c>
      <c r="D172" t="s">
        <v>205</v>
      </c>
      <c r="E172">
        <v>8.4871597290039063</v>
      </c>
      <c r="F172">
        <v>-82.403701782226563</v>
      </c>
      <c r="G172">
        <v>416873</v>
      </c>
      <c r="H172">
        <v>408</v>
      </c>
      <c r="I172" t="s">
        <v>264</v>
      </c>
      <c r="J172">
        <v>8.6085596084594727</v>
      </c>
      <c r="K172">
        <v>-82.240196228027344</v>
      </c>
      <c r="L172">
        <v>9750</v>
      </c>
      <c r="M172">
        <v>40802</v>
      </c>
      <c r="N172" t="s">
        <v>265</v>
      </c>
      <c r="O172">
        <v>8.7429895401000977</v>
      </c>
      <c r="P172">
        <v>-82.211502075195313</v>
      </c>
      <c r="Q172">
        <v>1230</v>
      </c>
    </row>
    <row r="173" spans="1:17" x14ac:dyDescent="0.25">
      <c r="A173">
        <v>162</v>
      </c>
      <c r="B173" t="str">
        <f t="shared" si="2"/>
        <v>Los Ángeles</v>
      </c>
      <c r="C173">
        <v>4</v>
      </c>
      <c r="D173" t="s">
        <v>205</v>
      </c>
      <c r="E173">
        <v>8.4871597290039063</v>
      </c>
      <c r="F173">
        <v>-82.403701782226563</v>
      </c>
      <c r="G173">
        <v>416873</v>
      </c>
      <c r="H173">
        <v>408</v>
      </c>
      <c r="I173" t="s">
        <v>264</v>
      </c>
      <c r="J173">
        <v>8.6085596084594727</v>
      </c>
      <c r="K173">
        <v>-82.240196228027344</v>
      </c>
      <c r="L173">
        <v>9750</v>
      </c>
      <c r="M173">
        <v>40803</v>
      </c>
      <c r="N173" t="s">
        <v>266</v>
      </c>
      <c r="O173">
        <v>8.5308904647827148</v>
      </c>
      <c r="P173">
        <v>-82.192596435546875</v>
      </c>
      <c r="Q173">
        <v>715</v>
      </c>
    </row>
    <row r="174" spans="1:17" x14ac:dyDescent="0.25">
      <c r="A174">
        <v>163</v>
      </c>
      <c r="B174" t="str">
        <f t="shared" si="2"/>
        <v>Paja de Sombrero</v>
      </c>
      <c r="C174">
        <v>4</v>
      </c>
      <c r="D174" t="s">
        <v>205</v>
      </c>
      <c r="E174">
        <v>8.4871597290039063</v>
      </c>
      <c r="F174">
        <v>-82.403701782226563</v>
      </c>
      <c r="G174">
        <v>416873</v>
      </c>
      <c r="H174">
        <v>408</v>
      </c>
      <c r="I174" t="s">
        <v>264</v>
      </c>
      <c r="J174">
        <v>8.6085596084594727</v>
      </c>
      <c r="K174">
        <v>-82.240196228027344</v>
      </c>
      <c r="L174">
        <v>9750</v>
      </c>
      <c r="M174">
        <v>40804</v>
      </c>
      <c r="N174" t="s">
        <v>267</v>
      </c>
      <c r="O174">
        <v>8.6539497375488281</v>
      </c>
      <c r="P174">
        <v>-82.30999755859375</v>
      </c>
      <c r="Q174">
        <v>653</v>
      </c>
    </row>
    <row r="175" spans="1:17" x14ac:dyDescent="0.25">
      <c r="A175">
        <v>164</v>
      </c>
      <c r="B175" t="str">
        <f t="shared" si="2"/>
        <v>Rincón</v>
      </c>
      <c r="C175">
        <v>4</v>
      </c>
      <c r="D175" t="s">
        <v>205</v>
      </c>
      <c r="E175">
        <v>8.4871597290039063</v>
      </c>
      <c r="F175">
        <v>-82.403701782226563</v>
      </c>
      <c r="G175">
        <v>416873</v>
      </c>
      <c r="H175">
        <v>408</v>
      </c>
      <c r="I175" t="s">
        <v>264</v>
      </c>
      <c r="J175">
        <v>8.6085596084594727</v>
      </c>
      <c r="K175">
        <v>-82.240196228027344</v>
      </c>
      <c r="L175">
        <v>9750</v>
      </c>
      <c r="M175">
        <v>40805</v>
      </c>
      <c r="N175" t="s">
        <v>268</v>
      </c>
      <c r="O175">
        <v>8.4632396697998047</v>
      </c>
      <c r="P175">
        <v>-82.244300842285156</v>
      </c>
      <c r="Q175">
        <v>1547</v>
      </c>
    </row>
    <row r="176" spans="1:17" x14ac:dyDescent="0.25">
      <c r="A176">
        <v>165</v>
      </c>
      <c r="B176" t="str">
        <f t="shared" si="2"/>
        <v>Remedios (Cabecera)</v>
      </c>
      <c r="C176">
        <v>4</v>
      </c>
      <c r="D176" t="s">
        <v>205</v>
      </c>
      <c r="E176">
        <v>8.4871597290039063</v>
      </c>
      <c r="F176">
        <v>-82.403701782226563</v>
      </c>
      <c r="G176">
        <v>416873</v>
      </c>
      <c r="H176">
        <v>409</v>
      </c>
      <c r="I176" t="s">
        <v>269</v>
      </c>
      <c r="J176">
        <v>8.2236995697021484</v>
      </c>
      <c r="K176">
        <v>-81.795402526855469</v>
      </c>
      <c r="L176">
        <v>4052</v>
      </c>
      <c r="M176">
        <v>40901</v>
      </c>
      <c r="N176" t="s">
        <v>270</v>
      </c>
      <c r="O176">
        <v>8.1803302764892578</v>
      </c>
      <c r="P176">
        <v>-81.811698913574219</v>
      </c>
      <c r="Q176">
        <v>908</v>
      </c>
    </row>
    <row r="177" spans="1:17" x14ac:dyDescent="0.25">
      <c r="A177">
        <v>166</v>
      </c>
      <c r="B177" t="str">
        <f t="shared" si="2"/>
        <v>El Nancito</v>
      </c>
      <c r="C177">
        <v>4</v>
      </c>
      <c r="D177" t="s">
        <v>205</v>
      </c>
      <c r="E177">
        <v>8.4871597290039063</v>
      </c>
      <c r="F177">
        <v>-82.403701782226563</v>
      </c>
      <c r="G177">
        <v>416873</v>
      </c>
      <c r="H177">
        <v>409</v>
      </c>
      <c r="I177" t="s">
        <v>269</v>
      </c>
      <c r="J177">
        <v>8.2236995697021484</v>
      </c>
      <c r="K177">
        <v>-81.795402526855469</v>
      </c>
      <c r="L177">
        <v>4052</v>
      </c>
      <c r="M177">
        <v>40902</v>
      </c>
      <c r="N177" t="s">
        <v>271</v>
      </c>
      <c r="O177">
        <v>8.2448196411132813</v>
      </c>
      <c r="P177">
        <v>-81.748298645019531</v>
      </c>
      <c r="Q177">
        <v>607</v>
      </c>
    </row>
    <row r="178" spans="1:17" x14ac:dyDescent="0.25">
      <c r="A178">
        <v>167</v>
      </c>
      <c r="B178" t="str">
        <f t="shared" si="2"/>
        <v>El Porvenir</v>
      </c>
      <c r="C178">
        <v>4</v>
      </c>
      <c r="D178" t="s">
        <v>205</v>
      </c>
      <c r="E178">
        <v>8.4871597290039063</v>
      </c>
      <c r="F178">
        <v>-82.403701782226563</v>
      </c>
      <c r="G178">
        <v>416873</v>
      </c>
      <c r="H178">
        <v>409</v>
      </c>
      <c r="I178" t="s">
        <v>269</v>
      </c>
      <c r="J178">
        <v>8.2236995697021484</v>
      </c>
      <c r="K178">
        <v>-81.795402526855469</v>
      </c>
      <c r="L178">
        <v>4052</v>
      </c>
      <c r="M178">
        <v>40903</v>
      </c>
      <c r="N178" t="s">
        <v>272</v>
      </c>
      <c r="O178">
        <v>8.2763204574584961</v>
      </c>
      <c r="P178">
        <v>-81.837303161621094</v>
      </c>
      <c r="Q178">
        <v>1325</v>
      </c>
    </row>
    <row r="179" spans="1:17" x14ac:dyDescent="0.25">
      <c r="A179">
        <v>168</v>
      </c>
      <c r="B179" t="str">
        <f t="shared" si="2"/>
        <v>El Puerto</v>
      </c>
      <c r="C179">
        <v>4</v>
      </c>
      <c r="D179" t="s">
        <v>205</v>
      </c>
      <c r="E179">
        <v>8.4871597290039063</v>
      </c>
      <c r="F179">
        <v>-82.403701782226563</v>
      </c>
      <c r="G179">
        <v>416873</v>
      </c>
      <c r="H179">
        <v>409</v>
      </c>
      <c r="I179" t="s">
        <v>269</v>
      </c>
      <c r="J179">
        <v>8.2236995697021484</v>
      </c>
      <c r="K179">
        <v>-81.795402526855469</v>
      </c>
      <c r="L179">
        <v>4052</v>
      </c>
      <c r="M179">
        <v>40904</v>
      </c>
      <c r="N179" t="s">
        <v>273</v>
      </c>
      <c r="O179">
        <v>8.1991901397705078</v>
      </c>
      <c r="P179">
        <v>-81.783897399902344</v>
      </c>
      <c r="Q179">
        <v>720</v>
      </c>
    </row>
    <row r="180" spans="1:17" x14ac:dyDescent="0.25">
      <c r="A180">
        <v>169</v>
      </c>
      <c r="B180" t="str">
        <f t="shared" si="2"/>
        <v>Santa Lucía</v>
      </c>
      <c r="C180">
        <v>4</v>
      </c>
      <c r="D180" t="s">
        <v>205</v>
      </c>
      <c r="E180">
        <v>8.4871597290039063</v>
      </c>
      <c r="F180">
        <v>-82.403701782226563</v>
      </c>
      <c r="G180">
        <v>416873</v>
      </c>
      <c r="H180">
        <v>409</v>
      </c>
      <c r="I180" t="s">
        <v>269</v>
      </c>
      <c r="J180">
        <v>8.2236995697021484</v>
      </c>
      <c r="K180">
        <v>-81.795402526855469</v>
      </c>
      <c r="L180">
        <v>4052</v>
      </c>
      <c r="M180">
        <v>40905</v>
      </c>
      <c r="N180" t="s">
        <v>274</v>
      </c>
      <c r="O180">
        <v>8.2518501281738281</v>
      </c>
      <c r="P180">
        <v>-81.800003051757813</v>
      </c>
      <c r="Q180">
        <v>492</v>
      </c>
    </row>
    <row r="181" spans="1:17" x14ac:dyDescent="0.25">
      <c r="A181">
        <v>170</v>
      </c>
      <c r="B181" t="str">
        <f t="shared" si="2"/>
        <v>Río Sereno (Cabecera)</v>
      </c>
      <c r="C181">
        <v>4</v>
      </c>
      <c r="D181" t="s">
        <v>205</v>
      </c>
      <c r="E181">
        <v>8.4871597290039063</v>
      </c>
      <c r="F181">
        <v>-82.403701782226563</v>
      </c>
      <c r="G181">
        <v>416873</v>
      </c>
      <c r="H181">
        <v>410</v>
      </c>
      <c r="I181" t="s">
        <v>275</v>
      </c>
      <c r="J181">
        <v>8.7503204345703125</v>
      </c>
      <c r="K181">
        <v>-82.793701171875</v>
      </c>
      <c r="L181">
        <v>20524</v>
      </c>
      <c r="M181">
        <v>41001</v>
      </c>
      <c r="N181" t="s">
        <v>276</v>
      </c>
      <c r="O181">
        <v>8.8283300399780273</v>
      </c>
      <c r="P181">
        <v>-82.823997497558594</v>
      </c>
      <c r="Q181">
        <v>5463</v>
      </c>
    </row>
    <row r="182" spans="1:17" x14ac:dyDescent="0.25">
      <c r="A182">
        <v>171</v>
      </c>
      <c r="B182" t="str">
        <f t="shared" si="2"/>
        <v>Breñón</v>
      </c>
      <c r="C182">
        <v>4</v>
      </c>
      <c r="D182" t="s">
        <v>205</v>
      </c>
      <c r="E182">
        <v>8.4871597290039063</v>
      </c>
      <c r="F182">
        <v>-82.403701782226563</v>
      </c>
      <c r="G182">
        <v>416873</v>
      </c>
      <c r="H182">
        <v>410</v>
      </c>
      <c r="I182" t="s">
        <v>275</v>
      </c>
      <c r="J182">
        <v>8.7503204345703125</v>
      </c>
      <c r="K182">
        <v>-82.793701171875</v>
      </c>
      <c r="L182">
        <v>20524</v>
      </c>
      <c r="M182">
        <v>41002</v>
      </c>
      <c r="N182" t="s">
        <v>277</v>
      </c>
      <c r="O182">
        <v>8.6227397918701172</v>
      </c>
      <c r="P182">
        <v>-82.816299438476563</v>
      </c>
      <c r="Q182">
        <v>755</v>
      </c>
    </row>
    <row r="183" spans="1:17" x14ac:dyDescent="0.25">
      <c r="A183">
        <v>172</v>
      </c>
      <c r="B183" t="str">
        <f t="shared" si="2"/>
        <v>Cañas Gordas</v>
      </c>
      <c r="C183">
        <v>4</v>
      </c>
      <c r="D183" t="s">
        <v>205</v>
      </c>
      <c r="E183">
        <v>8.4871597290039063</v>
      </c>
      <c r="F183">
        <v>-82.403701782226563</v>
      </c>
      <c r="G183">
        <v>416873</v>
      </c>
      <c r="H183">
        <v>410</v>
      </c>
      <c r="I183" t="s">
        <v>275</v>
      </c>
      <c r="J183">
        <v>8.7503204345703125</v>
      </c>
      <c r="K183">
        <v>-82.793701171875</v>
      </c>
      <c r="L183">
        <v>20524</v>
      </c>
      <c r="M183">
        <v>41003</v>
      </c>
      <c r="N183" t="s">
        <v>278</v>
      </c>
      <c r="O183">
        <v>8.7204198837280273</v>
      </c>
      <c r="P183">
        <v>-82.868598937988281</v>
      </c>
      <c r="Q183">
        <v>3090</v>
      </c>
    </row>
    <row r="184" spans="1:17" x14ac:dyDescent="0.25">
      <c r="A184">
        <v>173</v>
      </c>
      <c r="B184" t="str">
        <f t="shared" si="2"/>
        <v>Monte Lirio</v>
      </c>
      <c r="C184">
        <v>4</v>
      </c>
      <c r="D184" t="s">
        <v>205</v>
      </c>
      <c r="E184">
        <v>8.4871597290039063</v>
      </c>
      <c r="F184">
        <v>-82.403701782226563</v>
      </c>
      <c r="G184">
        <v>416873</v>
      </c>
      <c r="H184">
        <v>410</v>
      </c>
      <c r="I184" t="s">
        <v>275</v>
      </c>
      <c r="J184">
        <v>8.7503204345703125</v>
      </c>
      <c r="K184">
        <v>-82.793701171875</v>
      </c>
      <c r="L184">
        <v>20524</v>
      </c>
      <c r="M184">
        <v>41004</v>
      </c>
      <c r="N184" t="s">
        <v>279</v>
      </c>
      <c r="O184">
        <v>8.7965497970581055</v>
      </c>
      <c r="P184">
        <v>-82.804496765136719</v>
      </c>
      <c r="Q184">
        <v>2771</v>
      </c>
    </row>
    <row r="185" spans="1:17" x14ac:dyDescent="0.25">
      <c r="A185">
        <v>174</v>
      </c>
      <c r="B185" t="str">
        <f t="shared" si="2"/>
        <v>Plaza Caisán</v>
      </c>
      <c r="C185">
        <v>4</v>
      </c>
      <c r="D185" t="s">
        <v>205</v>
      </c>
      <c r="E185">
        <v>8.4871597290039063</v>
      </c>
      <c r="F185">
        <v>-82.403701782226563</v>
      </c>
      <c r="G185">
        <v>416873</v>
      </c>
      <c r="H185">
        <v>410</v>
      </c>
      <c r="I185" t="s">
        <v>275</v>
      </c>
      <c r="J185">
        <v>8.7503204345703125</v>
      </c>
      <c r="K185">
        <v>-82.793701171875</v>
      </c>
      <c r="L185">
        <v>20524</v>
      </c>
      <c r="M185">
        <v>41005</v>
      </c>
      <c r="N185" t="s">
        <v>280</v>
      </c>
      <c r="O185">
        <v>8.7581100463867188</v>
      </c>
      <c r="P185">
        <v>-82.773696899414063</v>
      </c>
      <c r="Q185">
        <v>2901</v>
      </c>
    </row>
    <row r="186" spans="1:17" x14ac:dyDescent="0.25">
      <c r="A186">
        <v>175</v>
      </c>
      <c r="B186" t="str">
        <f t="shared" si="2"/>
        <v>Santa Cruz</v>
      </c>
      <c r="C186">
        <v>4</v>
      </c>
      <c r="D186" t="s">
        <v>205</v>
      </c>
      <c r="E186">
        <v>8.4871597290039063</v>
      </c>
      <c r="F186">
        <v>-82.403701782226563</v>
      </c>
      <c r="G186">
        <v>416873</v>
      </c>
      <c r="H186">
        <v>410</v>
      </c>
      <c r="I186" t="s">
        <v>275</v>
      </c>
      <c r="J186">
        <v>8.7503204345703125</v>
      </c>
      <c r="K186">
        <v>-82.793701171875</v>
      </c>
      <c r="L186">
        <v>20524</v>
      </c>
      <c r="M186">
        <v>41006</v>
      </c>
      <c r="N186" t="s">
        <v>281</v>
      </c>
      <c r="O186">
        <v>8.64739990234375</v>
      </c>
      <c r="P186">
        <v>-82.764297485351563</v>
      </c>
      <c r="Q186">
        <v>1904</v>
      </c>
    </row>
    <row r="187" spans="1:17" x14ac:dyDescent="0.25">
      <c r="A187">
        <v>176</v>
      </c>
      <c r="B187" t="str">
        <f t="shared" si="2"/>
        <v>Dominical</v>
      </c>
      <c r="C187">
        <v>4</v>
      </c>
      <c r="D187" t="s">
        <v>205</v>
      </c>
      <c r="E187">
        <v>8.4871597290039063</v>
      </c>
      <c r="F187">
        <v>-82.403701782226563</v>
      </c>
      <c r="G187">
        <v>416873</v>
      </c>
      <c r="H187">
        <v>410</v>
      </c>
      <c r="I187" t="s">
        <v>275</v>
      </c>
      <c r="J187">
        <v>8.7503204345703125</v>
      </c>
      <c r="K187">
        <v>-82.793701171875</v>
      </c>
      <c r="L187">
        <v>20524</v>
      </c>
      <c r="M187">
        <v>41007</v>
      </c>
      <c r="N187" t="s">
        <v>282</v>
      </c>
      <c r="O187">
        <v>8.7132301330566406</v>
      </c>
      <c r="P187">
        <v>-82.757301330566406</v>
      </c>
      <c r="Q187">
        <v>998</v>
      </c>
    </row>
    <row r="188" spans="1:17" x14ac:dyDescent="0.25">
      <c r="A188">
        <v>177</v>
      </c>
      <c r="B188" t="str">
        <f t="shared" si="2"/>
        <v>Santa Clara</v>
      </c>
      <c r="C188">
        <v>4</v>
      </c>
      <c r="D188" t="s">
        <v>205</v>
      </c>
      <c r="E188">
        <v>8.4871597290039063</v>
      </c>
      <c r="F188">
        <v>-82.403701782226563</v>
      </c>
      <c r="G188">
        <v>416873</v>
      </c>
      <c r="H188">
        <v>410</v>
      </c>
      <c r="I188" t="s">
        <v>275</v>
      </c>
      <c r="J188">
        <v>8.7503204345703125</v>
      </c>
      <c r="K188">
        <v>-82.793701171875</v>
      </c>
      <c r="L188">
        <v>20524</v>
      </c>
      <c r="M188">
        <v>41008</v>
      </c>
      <c r="N188" t="s">
        <v>283</v>
      </c>
      <c r="O188">
        <v>8.8449602127075195</v>
      </c>
      <c r="P188">
        <v>-82.771896362304688</v>
      </c>
      <c r="Q188">
        <v>2642</v>
      </c>
    </row>
    <row r="189" spans="1:17" x14ac:dyDescent="0.25">
      <c r="A189">
        <v>178</v>
      </c>
      <c r="B189" t="str">
        <f t="shared" si="2"/>
        <v>Las Lajas</v>
      </c>
      <c r="C189">
        <v>4</v>
      </c>
      <c r="D189" t="s">
        <v>205</v>
      </c>
      <c r="E189">
        <v>8.4871597290039063</v>
      </c>
      <c r="F189">
        <v>-82.403701782226563</v>
      </c>
      <c r="G189">
        <v>416873</v>
      </c>
      <c r="H189">
        <v>411</v>
      </c>
      <c r="I189" t="s">
        <v>284</v>
      </c>
      <c r="J189">
        <v>8.2569599151611328</v>
      </c>
      <c r="K189">
        <v>-81.902397155761719</v>
      </c>
      <c r="L189">
        <v>6304</v>
      </c>
      <c r="M189">
        <v>41101</v>
      </c>
      <c r="N189" t="s">
        <v>285</v>
      </c>
      <c r="O189">
        <v>8.2079601287841797</v>
      </c>
      <c r="P189">
        <v>-81.864402770996094</v>
      </c>
      <c r="Q189">
        <v>1521</v>
      </c>
    </row>
    <row r="190" spans="1:17" x14ac:dyDescent="0.25">
      <c r="A190">
        <v>179</v>
      </c>
      <c r="B190" t="str">
        <f t="shared" si="2"/>
        <v>Juay o Las Mareas</v>
      </c>
      <c r="C190">
        <v>4</v>
      </c>
      <c r="D190" t="s">
        <v>205</v>
      </c>
      <c r="E190">
        <v>8.4871597290039063</v>
      </c>
      <c r="F190">
        <v>-82.403701782226563</v>
      </c>
      <c r="G190">
        <v>416873</v>
      </c>
      <c r="H190">
        <v>411</v>
      </c>
      <c r="I190" t="s">
        <v>284</v>
      </c>
      <c r="J190">
        <v>8.2569599151611328</v>
      </c>
      <c r="K190">
        <v>-81.902397155761719</v>
      </c>
      <c r="L190">
        <v>6304</v>
      </c>
      <c r="M190">
        <v>41102</v>
      </c>
      <c r="N190" t="s">
        <v>286</v>
      </c>
      <c r="O190">
        <v>8.2960596084594727</v>
      </c>
      <c r="P190">
        <v>-81.959999084472656</v>
      </c>
      <c r="Q190">
        <v>654</v>
      </c>
    </row>
    <row r="191" spans="1:17" x14ac:dyDescent="0.25">
      <c r="A191">
        <v>180</v>
      </c>
      <c r="B191" t="str">
        <f t="shared" si="2"/>
        <v>Lajas Adentro</v>
      </c>
      <c r="C191">
        <v>4</v>
      </c>
      <c r="D191" t="s">
        <v>205</v>
      </c>
      <c r="E191">
        <v>8.4871597290039063</v>
      </c>
      <c r="F191">
        <v>-82.403701782226563</v>
      </c>
      <c r="G191">
        <v>416873</v>
      </c>
      <c r="H191">
        <v>411</v>
      </c>
      <c r="I191" t="s">
        <v>284</v>
      </c>
      <c r="J191">
        <v>8.2569599151611328</v>
      </c>
      <c r="K191">
        <v>-81.902397155761719</v>
      </c>
      <c r="L191">
        <v>6304</v>
      </c>
      <c r="M191">
        <v>41103</v>
      </c>
      <c r="N191" t="s">
        <v>287</v>
      </c>
      <c r="O191">
        <v>8.2214202880859375</v>
      </c>
      <c r="P191">
        <v>-81.904296875</v>
      </c>
      <c r="Q191">
        <v>741</v>
      </c>
    </row>
    <row r="192" spans="1:17" x14ac:dyDescent="0.25">
      <c r="A192">
        <v>181</v>
      </c>
      <c r="B192" t="str">
        <f t="shared" si="2"/>
        <v>San Félix</v>
      </c>
      <c r="C192">
        <v>4</v>
      </c>
      <c r="D192" t="s">
        <v>205</v>
      </c>
      <c r="E192">
        <v>8.4871597290039063</v>
      </c>
      <c r="F192">
        <v>-82.403701782226563</v>
      </c>
      <c r="G192">
        <v>416873</v>
      </c>
      <c r="H192">
        <v>411</v>
      </c>
      <c r="I192" t="s">
        <v>284</v>
      </c>
      <c r="J192">
        <v>8.2569599151611328</v>
      </c>
      <c r="K192">
        <v>-81.902397155761719</v>
      </c>
      <c r="L192">
        <v>6304</v>
      </c>
      <c r="M192">
        <v>41104</v>
      </c>
      <c r="N192" t="s">
        <v>284</v>
      </c>
      <c r="O192">
        <v>8.3113698959350586</v>
      </c>
      <c r="P192">
        <v>-81.886001586914063</v>
      </c>
      <c r="Q192">
        <v>2972</v>
      </c>
    </row>
    <row r="193" spans="1:17" x14ac:dyDescent="0.25">
      <c r="A193">
        <v>182</v>
      </c>
      <c r="B193" t="str">
        <f t="shared" si="2"/>
        <v>Santa Cruz</v>
      </c>
      <c r="C193">
        <v>4</v>
      </c>
      <c r="D193" t="s">
        <v>205</v>
      </c>
      <c r="E193">
        <v>8.4871597290039063</v>
      </c>
      <c r="F193">
        <v>-82.403701782226563</v>
      </c>
      <c r="G193">
        <v>416873</v>
      </c>
      <c r="H193">
        <v>411</v>
      </c>
      <c r="I193" t="s">
        <v>284</v>
      </c>
      <c r="J193">
        <v>8.2569599151611328</v>
      </c>
      <c r="K193">
        <v>-81.902397155761719</v>
      </c>
      <c r="L193">
        <v>6304</v>
      </c>
      <c r="M193">
        <v>41105</v>
      </c>
      <c r="N193" t="s">
        <v>281</v>
      </c>
      <c r="O193">
        <v>8.241999626159668</v>
      </c>
      <c r="P193">
        <v>-81.922096252441406</v>
      </c>
      <c r="Q193">
        <v>416</v>
      </c>
    </row>
    <row r="194" spans="1:17" x14ac:dyDescent="0.25">
      <c r="A194">
        <v>183</v>
      </c>
      <c r="B194" t="str">
        <f t="shared" si="2"/>
        <v>Horconcitos (Cabecera)</v>
      </c>
      <c r="C194">
        <v>4</v>
      </c>
      <c r="D194" t="s">
        <v>205</v>
      </c>
      <c r="E194">
        <v>8.4871597290039063</v>
      </c>
      <c r="F194">
        <v>-82.403701782226563</v>
      </c>
      <c r="G194">
        <v>416873</v>
      </c>
      <c r="H194">
        <v>412</v>
      </c>
      <c r="I194" t="s">
        <v>288</v>
      </c>
      <c r="J194">
        <v>8.3129796981811523</v>
      </c>
      <c r="K194">
        <v>-82.112998962402344</v>
      </c>
      <c r="L194">
        <v>7507</v>
      </c>
      <c r="M194">
        <v>41201</v>
      </c>
      <c r="N194" t="s">
        <v>289</v>
      </c>
      <c r="O194">
        <v>8.2995004653930664</v>
      </c>
      <c r="P194">
        <v>-82.160400390625</v>
      </c>
      <c r="Q194">
        <v>996</v>
      </c>
    </row>
    <row r="195" spans="1:17" x14ac:dyDescent="0.25">
      <c r="A195">
        <v>184</v>
      </c>
      <c r="B195" t="str">
        <f t="shared" si="2"/>
        <v>Boca Chica</v>
      </c>
      <c r="C195">
        <v>4</v>
      </c>
      <c r="D195" t="s">
        <v>205</v>
      </c>
      <c r="E195">
        <v>8.4871597290039063</v>
      </c>
      <c r="F195">
        <v>-82.403701782226563</v>
      </c>
      <c r="G195">
        <v>416873</v>
      </c>
      <c r="H195">
        <v>412</v>
      </c>
      <c r="I195" t="s">
        <v>288</v>
      </c>
      <c r="J195">
        <v>8.3129796981811523</v>
      </c>
      <c r="K195">
        <v>-82.112998962402344</v>
      </c>
      <c r="L195">
        <v>7507</v>
      </c>
      <c r="M195">
        <v>41202</v>
      </c>
      <c r="N195" t="s">
        <v>290</v>
      </c>
      <c r="O195">
        <v>8.220210075378418</v>
      </c>
      <c r="P195">
        <v>-82.1990966796875</v>
      </c>
      <c r="Q195">
        <v>441</v>
      </c>
    </row>
    <row r="196" spans="1:17" x14ac:dyDescent="0.25">
      <c r="A196">
        <v>185</v>
      </c>
      <c r="B196" t="str">
        <f t="shared" si="2"/>
        <v>Boca del Monte</v>
      </c>
      <c r="C196">
        <v>4</v>
      </c>
      <c r="D196" t="s">
        <v>205</v>
      </c>
      <c r="E196">
        <v>8.4871597290039063</v>
      </c>
      <c r="F196">
        <v>-82.403701782226563</v>
      </c>
      <c r="G196">
        <v>416873</v>
      </c>
      <c r="H196">
        <v>412</v>
      </c>
      <c r="I196" t="s">
        <v>288</v>
      </c>
      <c r="J196">
        <v>8.3129796981811523</v>
      </c>
      <c r="K196">
        <v>-82.112998962402344</v>
      </c>
      <c r="L196">
        <v>7507</v>
      </c>
      <c r="M196">
        <v>41203</v>
      </c>
      <c r="N196" t="s">
        <v>291</v>
      </c>
      <c r="O196">
        <v>8.3999099731445313</v>
      </c>
      <c r="P196">
        <v>-82.130401611328125</v>
      </c>
      <c r="Q196">
        <v>2143</v>
      </c>
    </row>
    <row r="197" spans="1:17" x14ac:dyDescent="0.25">
      <c r="A197">
        <v>186</v>
      </c>
      <c r="B197" t="str">
        <f t="shared" si="2"/>
        <v>San Juan</v>
      </c>
      <c r="C197">
        <v>4</v>
      </c>
      <c r="D197" t="s">
        <v>205</v>
      </c>
      <c r="E197">
        <v>8.4871597290039063</v>
      </c>
      <c r="F197">
        <v>-82.403701782226563</v>
      </c>
      <c r="G197">
        <v>416873</v>
      </c>
      <c r="H197">
        <v>412</v>
      </c>
      <c r="I197" t="s">
        <v>288</v>
      </c>
      <c r="J197">
        <v>8.3129796981811523</v>
      </c>
      <c r="K197">
        <v>-82.112998962402344</v>
      </c>
      <c r="L197">
        <v>7507</v>
      </c>
      <c r="M197">
        <v>41204</v>
      </c>
      <c r="N197" t="s">
        <v>176</v>
      </c>
      <c r="O197">
        <v>8.2701301574707031</v>
      </c>
      <c r="P197">
        <v>-82.003402709960938</v>
      </c>
      <c r="Q197">
        <v>1637</v>
      </c>
    </row>
    <row r="198" spans="1:17" x14ac:dyDescent="0.25">
      <c r="A198">
        <v>187</v>
      </c>
      <c r="B198" t="str">
        <f t="shared" si="2"/>
        <v>San Lorenzo</v>
      </c>
      <c r="C198">
        <v>4</v>
      </c>
      <c r="D198" t="s">
        <v>205</v>
      </c>
      <c r="E198">
        <v>8.4871597290039063</v>
      </c>
      <c r="F198">
        <v>-82.403701782226563</v>
      </c>
      <c r="G198">
        <v>416873</v>
      </c>
      <c r="H198">
        <v>412</v>
      </c>
      <c r="I198" t="s">
        <v>288</v>
      </c>
      <c r="J198">
        <v>8.3129796981811523</v>
      </c>
      <c r="K198">
        <v>-82.112998962402344</v>
      </c>
      <c r="L198">
        <v>7507</v>
      </c>
      <c r="M198">
        <v>41205</v>
      </c>
      <c r="N198" t="s">
        <v>288</v>
      </c>
      <c r="O198">
        <v>8.277409553527832</v>
      </c>
      <c r="P198">
        <v>-82.070098876953125</v>
      </c>
      <c r="Q198">
        <v>2290</v>
      </c>
    </row>
    <row r="199" spans="1:17" x14ac:dyDescent="0.25">
      <c r="A199">
        <v>188</v>
      </c>
      <c r="B199" t="str">
        <f t="shared" si="2"/>
        <v>Tolé (Cabecera)</v>
      </c>
      <c r="C199">
        <v>4</v>
      </c>
      <c r="D199" t="s">
        <v>205</v>
      </c>
      <c r="E199">
        <v>8.4871597290039063</v>
      </c>
      <c r="F199">
        <v>-82.403701782226563</v>
      </c>
      <c r="G199">
        <v>416873</v>
      </c>
      <c r="H199">
        <v>413</v>
      </c>
      <c r="I199" t="s">
        <v>292</v>
      </c>
      <c r="J199">
        <v>8.1972103118896484</v>
      </c>
      <c r="K199">
        <v>-81.647697448730469</v>
      </c>
      <c r="L199">
        <v>11885</v>
      </c>
      <c r="M199">
        <v>41301</v>
      </c>
      <c r="N199" t="s">
        <v>293</v>
      </c>
      <c r="O199">
        <v>8.2194900512695313</v>
      </c>
      <c r="P199">
        <v>-81.706703186035156</v>
      </c>
      <c r="Q199">
        <v>3240</v>
      </c>
    </row>
    <row r="200" spans="1:17" x14ac:dyDescent="0.25">
      <c r="A200">
        <v>189</v>
      </c>
      <c r="B200" t="str">
        <f t="shared" si="2"/>
        <v>Bella Vista</v>
      </c>
      <c r="C200">
        <v>4</v>
      </c>
      <c r="D200" t="s">
        <v>205</v>
      </c>
      <c r="E200">
        <v>8.4871597290039063</v>
      </c>
      <c r="F200">
        <v>-82.403701782226563</v>
      </c>
      <c r="G200">
        <v>416873</v>
      </c>
      <c r="H200">
        <v>413</v>
      </c>
      <c r="I200" t="s">
        <v>292</v>
      </c>
      <c r="J200">
        <v>8.1972103118896484</v>
      </c>
      <c r="K200">
        <v>-81.647697448730469</v>
      </c>
      <c r="L200">
        <v>11885</v>
      </c>
      <c r="M200">
        <v>41302</v>
      </c>
      <c r="N200" t="s">
        <v>294</v>
      </c>
      <c r="O200">
        <v>8.1935997009277344</v>
      </c>
      <c r="P200">
        <v>-81.6094970703125</v>
      </c>
      <c r="Q200">
        <v>683</v>
      </c>
    </row>
    <row r="201" spans="1:17" x14ac:dyDescent="0.25">
      <c r="A201">
        <v>190</v>
      </c>
      <c r="B201" t="str">
        <f t="shared" si="2"/>
        <v>Cerro Viejo</v>
      </c>
      <c r="C201">
        <v>4</v>
      </c>
      <c r="D201" t="s">
        <v>205</v>
      </c>
      <c r="E201">
        <v>8.4871597290039063</v>
      </c>
      <c r="F201">
        <v>-82.403701782226563</v>
      </c>
      <c r="G201">
        <v>416873</v>
      </c>
      <c r="H201">
        <v>413</v>
      </c>
      <c r="I201" t="s">
        <v>292</v>
      </c>
      <c r="J201">
        <v>8.1972103118896484</v>
      </c>
      <c r="K201">
        <v>-81.647697448730469</v>
      </c>
      <c r="L201">
        <v>11885</v>
      </c>
      <c r="M201">
        <v>41303</v>
      </c>
      <c r="N201" t="s">
        <v>295</v>
      </c>
      <c r="O201">
        <v>8.2536897659301758</v>
      </c>
      <c r="P201">
        <v>-81.573097229003906</v>
      </c>
      <c r="Q201">
        <v>1768</v>
      </c>
    </row>
    <row r="202" spans="1:17" x14ac:dyDescent="0.25">
      <c r="A202">
        <v>191</v>
      </c>
      <c r="B202" t="str">
        <f t="shared" si="2"/>
        <v>El Cristo</v>
      </c>
      <c r="C202">
        <v>4</v>
      </c>
      <c r="D202" t="s">
        <v>205</v>
      </c>
      <c r="E202">
        <v>8.4871597290039063</v>
      </c>
      <c r="F202">
        <v>-82.403701782226563</v>
      </c>
      <c r="G202">
        <v>416873</v>
      </c>
      <c r="H202">
        <v>413</v>
      </c>
      <c r="I202" t="s">
        <v>292</v>
      </c>
      <c r="J202">
        <v>8.1972103118896484</v>
      </c>
      <c r="K202">
        <v>-81.647697448730469</v>
      </c>
      <c r="L202">
        <v>11885</v>
      </c>
      <c r="M202">
        <v>41304</v>
      </c>
      <c r="N202" t="s">
        <v>119</v>
      </c>
      <c r="O202">
        <v>8.3224802017211914</v>
      </c>
      <c r="P202">
        <v>-81.600997924804688</v>
      </c>
      <c r="Q202">
        <v>1500</v>
      </c>
    </row>
    <row r="203" spans="1:17" x14ac:dyDescent="0.25">
      <c r="A203">
        <v>192</v>
      </c>
      <c r="B203" t="str">
        <f t="shared" si="2"/>
        <v>Justo Fidel Palacios</v>
      </c>
      <c r="C203">
        <v>4</v>
      </c>
      <c r="D203" t="s">
        <v>205</v>
      </c>
      <c r="E203">
        <v>8.4871597290039063</v>
      </c>
      <c r="F203">
        <v>-82.403701782226563</v>
      </c>
      <c r="G203">
        <v>416873</v>
      </c>
      <c r="H203">
        <v>413</v>
      </c>
      <c r="I203" t="s">
        <v>292</v>
      </c>
      <c r="J203">
        <v>8.1972103118896484</v>
      </c>
      <c r="K203">
        <v>-81.647697448730469</v>
      </c>
      <c r="L203">
        <v>11885</v>
      </c>
      <c r="M203">
        <v>41305</v>
      </c>
      <c r="N203" t="s">
        <v>296</v>
      </c>
      <c r="O203">
        <v>8.3272104263305664</v>
      </c>
      <c r="P203">
        <v>-81.535499572753906</v>
      </c>
      <c r="Q203">
        <v>656</v>
      </c>
    </row>
    <row r="204" spans="1:17" x14ac:dyDescent="0.25">
      <c r="A204">
        <v>193</v>
      </c>
      <c r="B204" t="str">
        <f t="shared" ref="B204:B267" si="3">+N204</f>
        <v>Lajas de Tolé</v>
      </c>
      <c r="C204">
        <v>4</v>
      </c>
      <c r="D204" t="s">
        <v>205</v>
      </c>
      <c r="E204">
        <v>8.4871597290039063</v>
      </c>
      <c r="F204">
        <v>-82.403701782226563</v>
      </c>
      <c r="G204">
        <v>416873</v>
      </c>
      <c r="H204">
        <v>413</v>
      </c>
      <c r="I204" t="s">
        <v>292</v>
      </c>
      <c r="J204">
        <v>8.1972103118896484</v>
      </c>
      <c r="K204">
        <v>-81.647697448730469</v>
      </c>
      <c r="L204">
        <v>11885</v>
      </c>
      <c r="M204">
        <v>41306</v>
      </c>
      <c r="N204" t="s">
        <v>297</v>
      </c>
      <c r="O204">
        <v>8.155949592590332</v>
      </c>
      <c r="P204">
        <v>-81.672401428222656</v>
      </c>
      <c r="Q204">
        <v>847</v>
      </c>
    </row>
    <row r="205" spans="1:17" x14ac:dyDescent="0.25">
      <c r="A205">
        <v>194</v>
      </c>
      <c r="B205" t="str">
        <f t="shared" si="3"/>
        <v>Potrero de Caña</v>
      </c>
      <c r="C205">
        <v>4</v>
      </c>
      <c r="D205" t="s">
        <v>205</v>
      </c>
      <c r="E205">
        <v>8.4871597290039063</v>
      </c>
      <c r="F205">
        <v>-82.403701782226563</v>
      </c>
      <c r="G205">
        <v>416873</v>
      </c>
      <c r="H205">
        <v>413</v>
      </c>
      <c r="I205" t="s">
        <v>292</v>
      </c>
      <c r="J205">
        <v>8.1972103118896484</v>
      </c>
      <c r="K205">
        <v>-81.647697448730469</v>
      </c>
      <c r="L205">
        <v>11885</v>
      </c>
      <c r="M205">
        <v>41307</v>
      </c>
      <c r="N205" t="s">
        <v>298</v>
      </c>
      <c r="O205">
        <v>8.2853097915649414</v>
      </c>
      <c r="P205">
        <v>-81.696403503417969</v>
      </c>
      <c r="Q205">
        <v>337</v>
      </c>
    </row>
    <row r="206" spans="1:17" x14ac:dyDescent="0.25">
      <c r="A206">
        <v>195</v>
      </c>
      <c r="B206" t="str">
        <f t="shared" si="3"/>
        <v>Quebrada de Piedra</v>
      </c>
      <c r="C206">
        <v>4</v>
      </c>
      <c r="D206" t="s">
        <v>205</v>
      </c>
      <c r="E206">
        <v>8.4871597290039063</v>
      </c>
      <c r="F206">
        <v>-82.403701782226563</v>
      </c>
      <c r="G206">
        <v>416873</v>
      </c>
      <c r="H206">
        <v>413</v>
      </c>
      <c r="I206" t="s">
        <v>292</v>
      </c>
      <c r="J206">
        <v>8.1972103118896484</v>
      </c>
      <c r="K206">
        <v>-81.647697448730469</v>
      </c>
      <c r="L206">
        <v>11885</v>
      </c>
      <c r="M206">
        <v>41308</v>
      </c>
      <c r="N206" t="s">
        <v>299</v>
      </c>
      <c r="O206">
        <v>8.0797901153564453</v>
      </c>
      <c r="P206">
        <v>-81.676399230957031</v>
      </c>
      <c r="Q206">
        <v>1127</v>
      </c>
    </row>
    <row r="207" spans="1:17" x14ac:dyDescent="0.25">
      <c r="A207">
        <v>196</v>
      </c>
      <c r="B207" t="str">
        <f t="shared" si="3"/>
        <v>Veladero</v>
      </c>
      <c r="C207">
        <v>4</v>
      </c>
      <c r="D207" t="s">
        <v>205</v>
      </c>
      <c r="E207">
        <v>8.4871597290039063</v>
      </c>
      <c r="F207">
        <v>-82.403701782226563</v>
      </c>
      <c r="G207">
        <v>416873</v>
      </c>
      <c r="H207">
        <v>413</v>
      </c>
      <c r="I207" t="s">
        <v>292</v>
      </c>
      <c r="J207">
        <v>8.1972103118896484</v>
      </c>
      <c r="K207">
        <v>-81.647697448730469</v>
      </c>
      <c r="L207">
        <v>11885</v>
      </c>
      <c r="M207">
        <v>41309</v>
      </c>
      <c r="N207" t="s">
        <v>300</v>
      </c>
      <c r="O207">
        <v>8.2382097244262695</v>
      </c>
      <c r="P207">
        <v>-81.642799377441406</v>
      </c>
      <c r="Q207">
        <v>1727</v>
      </c>
    </row>
    <row r="208" spans="1:17" x14ac:dyDescent="0.25">
      <c r="A208">
        <v>197</v>
      </c>
      <c r="B208" t="str">
        <f t="shared" si="3"/>
        <v>La Palma (Cabecera)</v>
      </c>
      <c r="C208">
        <v>5</v>
      </c>
      <c r="D208" t="s">
        <v>301</v>
      </c>
      <c r="E208">
        <v>8.1684103012084961</v>
      </c>
      <c r="F208">
        <v>-77.922096252441406</v>
      </c>
      <c r="G208">
        <v>48378</v>
      </c>
      <c r="H208">
        <v>501</v>
      </c>
      <c r="I208" t="s">
        <v>302</v>
      </c>
      <c r="J208">
        <v>7.8599100112915039</v>
      </c>
      <c r="K208">
        <v>-78.001800537109375</v>
      </c>
      <c r="L208">
        <v>30110</v>
      </c>
      <c r="M208">
        <v>50101</v>
      </c>
      <c r="N208" t="s">
        <v>303</v>
      </c>
      <c r="O208">
        <v>8.272709846496582</v>
      </c>
      <c r="P208">
        <v>-78.154098510742188</v>
      </c>
      <c r="Q208">
        <v>4205</v>
      </c>
    </row>
    <row r="209" spans="1:17" x14ac:dyDescent="0.25">
      <c r="A209">
        <v>198</v>
      </c>
      <c r="B209" t="str">
        <f t="shared" si="3"/>
        <v>Chepigana</v>
      </c>
      <c r="C209">
        <v>5</v>
      </c>
      <c r="D209" t="s">
        <v>301</v>
      </c>
      <c r="E209">
        <v>8.1684103012084961</v>
      </c>
      <c r="F209">
        <v>-77.922096252441406</v>
      </c>
      <c r="G209">
        <v>48378</v>
      </c>
      <c r="H209">
        <v>501</v>
      </c>
      <c r="I209" t="s">
        <v>302</v>
      </c>
      <c r="J209">
        <v>7.8599100112915039</v>
      </c>
      <c r="K209">
        <v>-78.001800537109375</v>
      </c>
      <c r="L209">
        <v>30110</v>
      </c>
      <c r="M209">
        <v>50103</v>
      </c>
      <c r="N209" t="s">
        <v>302</v>
      </c>
      <c r="O209">
        <v>8.111689567565918</v>
      </c>
      <c r="P209">
        <v>-78.019096374511719</v>
      </c>
      <c r="Q209">
        <v>704</v>
      </c>
    </row>
    <row r="210" spans="1:17" x14ac:dyDescent="0.25">
      <c r="A210">
        <v>199</v>
      </c>
      <c r="B210" t="str">
        <f t="shared" si="3"/>
        <v>Garachiné</v>
      </c>
      <c r="C210">
        <v>5</v>
      </c>
      <c r="D210" t="s">
        <v>301</v>
      </c>
      <c r="E210">
        <v>8.1684103012084961</v>
      </c>
      <c r="F210">
        <v>-77.922096252441406</v>
      </c>
      <c r="G210">
        <v>48378</v>
      </c>
      <c r="H210">
        <v>501</v>
      </c>
      <c r="I210" t="s">
        <v>302</v>
      </c>
      <c r="J210">
        <v>7.8599100112915039</v>
      </c>
      <c r="K210">
        <v>-78.001800537109375</v>
      </c>
      <c r="L210">
        <v>30110</v>
      </c>
      <c r="M210">
        <v>50104</v>
      </c>
      <c r="N210" t="s">
        <v>304</v>
      </c>
      <c r="O210">
        <v>8.0284996032714844</v>
      </c>
      <c r="P210">
        <v>-78.335601806640625</v>
      </c>
      <c r="Q210">
        <v>1878</v>
      </c>
    </row>
    <row r="211" spans="1:17" x14ac:dyDescent="0.25">
      <c r="A211">
        <v>200</v>
      </c>
      <c r="B211" t="str">
        <f t="shared" si="3"/>
        <v>Jaqué</v>
      </c>
      <c r="C211">
        <v>5</v>
      </c>
      <c r="D211" t="s">
        <v>301</v>
      </c>
      <c r="E211">
        <v>8.1684103012084961</v>
      </c>
      <c r="F211">
        <v>-77.922096252441406</v>
      </c>
      <c r="G211">
        <v>48378</v>
      </c>
      <c r="H211">
        <v>501</v>
      </c>
      <c r="I211" t="s">
        <v>302</v>
      </c>
      <c r="J211">
        <v>7.8599100112915039</v>
      </c>
      <c r="K211">
        <v>-78.001800537109375</v>
      </c>
      <c r="L211">
        <v>30110</v>
      </c>
      <c r="M211">
        <v>50105</v>
      </c>
      <c r="N211" t="s">
        <v>305</v>
      </c>
      <c r="O211">
        <v>7.4707298278808594</v>
      </c>
      <c r="P211">
        <v>-77.982803344726563</v>
      </c>
      <c r="Q211">
        <v>2386</v>
      </c>
    </row>
    <row r="212" spans="1:17" x14ac:dyDescent="0.25">
      <c r="A212">
        <v>201</v>
      </c>
      <c r="B212" t="str">
        <f t="shared" si="3"/>
        <v>Puerto Piña</v>
      </c>
      <c r="C212">
        <v>5</v>
      </c>
      <c r="D212" t="s">
        <v>301</v>
      </c>
      <c r="E212">
        <v>8.1684103012084961</v>
      </c>
      <c r="F212">
        <v>-77.922096252441406</v>
      </c>
      <c r="G212">
        <v>48378</v>
      </c>
      <c r="H212">
        <v>501</v>
      </c>
      <c r="I212" t="s">
        <v>302</v>
      </c>
      <c r="J212">
        <v>7.8599100112915039</v>
      </c>
      <c r="K212">
        <v>-78.001800537109375</v>
      </c>
      <c r="L212">
        <v>30110</v>
      </c>
      <c r="M212">
        <v>50106</v>
      </c>
      <c r="N212" t="s">
        <v>306</v>
      </c>
      <c r="O212">
        <v>7.7908501625061035</v>
      </c>
      <c r="P212">
        <v>-78.28790283203125</v>
      </c>
      <c r="Q212">
        <v>1113</v>
      </c>
    </row>
    <row r="213" spans="1:17" x14ac:dyDescent="0.25">
      <c r="A213">
        <v>202</v>
      </c>
      <c r="B213" t="str">
        <f t="shared" si="3"/>
        <v>Sambú</v>
      </c>
      <c r="C213">
        <v>5</v>
      </c>
      <c r="D213" t="s">
        <v>301</v>
      </c>
      <c r="E213">
        <v>8.1684103012084961</v>
      </c>
      <c r="F213">
        <v>-77.922096252441406</v>
      </c>
      <c r="G213">
        <v>48378</v>
      </c>
      <c r="H213">
        <v>501</v>
      </c>
      <c r="I213" t="s">
        <v>302</v>
      </c>
      <c r="J213">
        <v>7.8599100112915039</v>
      </c>
      <c r="K213">
        <v>-78.001800537109375</v>
      </c>
      <c r="L213">
        <v>30110</v>
      </c>
      <c r="M213">
        <v>50109</v>
      </c>
      <c r="N213" t="s">
        <v>307</v>
      </c>
      <c r="O213">
        <v>8.0188703536987305</v>
      </c>
      <c r="P213">
        <v>-78.224899291992188</v>
      </c>
      <c r="Q213">
        <v>931</v>
      </c>
    </row>
    <row r="214" spans="1:17" x14ac:dyDescent="0.25">
      <c r="A214">
        <v>203</v>
      </c>
      <c r="B214" t="str">
        <f t="shared" si="3"/>
        <v>Setegantí</v>
      </c>
      <c r="C214">
        <v>5</v>
      </c>
      <c r="D214" t="s">
        <v>301</v>
      </c>
      <c r="E214">
        <v>8.1684103012084961</v>
      </c>
      <c r="F214">
        <v>-77.922096252441406</v>
      </c>
      <c r="G214">
        <v>48378</v>
      </c>
      <c r="H214">
        <v>501</v>
      </c>
      <c r="I214" t="s">
        <v>302</v>
      </c>
      <c r="J214">
        <v>7.8599100112915039</v>
      </c>
      <c r="K214">
        <v>-78.001800537109375</v>
      </c>
      <c r="L214">
        <v>30110</v>
      </c>
      <c r="M214">
        <v>50110</v>
      </c>
      <c r="N214" t="s">
        <v>308</v>
      </c>
      <c r="O214">
        <v>8.27178955078125</v>
      </c>
      <c r="P214">
        <v>-78.08489990234375</v>
      </c>
      <c r="Q214">
        <v>558</v>
      </c>
    </row>
    <row r="215" spans="1:17" x14ac:dyDescent="0.25">
      <c r="A215">
        <v>204</v>
      </c>
      <c r="B215" t="str">
        <f t="shared" si="3"/>
        <v>Taimatí</v>
      </c>
      <c r="C215">
        <v>5</v>
      </c>
      <c r="D215" t="s">
        <v>301</v>
      </c>
      <c r="E215">
        <v>8.1684103012084961</v>
      </c>
      <c r="F215">
        <v>-77.922096252441406</v>
      </c>
      <c r="G215">
        <v>48378</v>
      </c>
      <c r="H215">
        <v>501</v>
      </c>
      <c r="I215" t="s">
        <v>302</v>
      </c>
      <c r="J215">
        <v>7.8599100112915039</v>
      </c>
      <c r="K215">
        <v>-78.001800537109375</v>
      </c>
      <c r="L215">
        <v>30110</v>
      </c>
      <c r="M215">
        <v>50111</v>
      </c>
      <c r="N215" t="s">
        <v>309</v>
      </c>
      <c r="O215">
        <v>8.1294803619384766</v>
      </c>
      <c r="P215">
        <v>-78.202102661132813</v>
      </c>
      <c r="Q215">
        <v>764</v>
      </c>
    </row>
    <row r="216" spans="1:17" x14ac:dyDescent="0.25">
      <c r="A216">
        <v>205</v>
      </c>
      <c r="B216" t="str">
        <f t="shared" si="3"/>
        <v>Tucutí</v>
      </c>
      <c r="C216">
        <v>5</v>
      </c>
      <c r="D216" t="s">
        <v>301</v>
      </c>
      <c r="E216">
        <v>8.1684103012084961</v>
      </c>
      <c r="F216">
        <v>-77.922096252441406</v>
      </c>
      <c r="G216">
        <v>48378</v>
      </c>
      <c r="H216">
        <v>501</v>
      </c>
      <c r="I216" t="s">
        <v>302</v>
      </c>
      <c r="J216">
        <v>7.8599100112915039</v>
      </c>
      <c r="K216">
        <v>-78.001800537109375</v>
      </c>
      <c r="L216">
        <v>30110</v>
      </c>
      <c r="M216">
        <v>50112</v>
      </c>
      <c r="N216" t="s">
        <v>310</v>
      </c>
      <c r="O216">
        <v>7.7562398910522461</v>
      </c>
      <c r="P216">
        <v>-77.849998474121094</v>
      </c>
      <c r="Q216">
        <v>1200</v>
      </c>
    </row>
    <row r="217" spans="1:17" x14ac:dyDescent="0.25">
      <c r="A217">
        <v>206</v>
      </c>
      <c r="B217" t="str">
        <f t="shared" si="3"/>
        <v>Camogantí</v>
      </c>
      <c r="C217">
        <v>5</v>
      </c>
      <c r="D217" t="s">
        <v>301</v>
      </c>
      <c r="E217">
        <v>8.1684103012084961</v>
      </c>
      <c r="F217">
        <v>-77.922096252441406</v>
      </c>
      <c r="G217">
        <v>48378</v>
      </c>
      <c r="H217">
        <v>501</v>
      </c>
      <c r="I217" t="s">
        <v>302</v>
      </c>
      <c r="J217">
        <v>7.8599100112915039</v>
      </c>
      <c r="K217">
        <v>-78.001800537109375</v>
      </c>
      <c r="L217">
        <v>30110</v>
      </c>
      <c r="M217">
        <v>50102</v>
      </c>
      <c r="N217" t="s">
        <v>311</v>
      </c>
      <c r="O217">
        <v>8.0660495758056641</v>
      </c>
      <c r="P217">
        <v>-77.86309814453125</v>
      </c>
      <c r="Q217">
        <v>282</v>
      </c>
    </row>
    <row r="218" spans="1:17" x14ac:dyDescent="0.25">
      <c r="A218">
        <v>207</v>
      </c>
      <c r="B218" t="str">
        <f t="shared" si="3"/>
        <v>Camogantí</v>
      </c>
      <c r="C218">
        <v>5</v>
      </c>
      <c r="D218" t="s">
        <v>301</v>
      </c>
      <c r="E218">
        <v>8.1684103012084961</v>
      </c>
      <c r="F218">
        <v>-77.922096252441406</v>
      </c>
      <c r="G218">
        <v>48378</v>
      </c>
      <c r="H218">
        <v>501</v>
      </c>
      <c r="I218" t="s">
        <v>302</v>
      </c>
      <c r="J218">
        <v>7.8599100112915039</v>
      </c>
      <c r="K218">
        <v>-78.001800537109375</v>
      </c>
      <c r="L218">
        <v>30110</v>
      </c>
      <c r="M218">
        <v>50102</v>
      </c>
      <c r="N218" t="s">
        <v>311</v>
      </c>
      <c r="O218">
        <v>8.2120704650878906</v>
      </c>
      <c r="P218">
        <v>-77.929100036621094</v>
      </c>
      <c r="Q218">
        <v>282</v>
      </c>
    </row>
    <row r="219" spans="1:17" x14ac:dyDescent="0.25">
      <c r="A219">
        <v>208</v>
      </c>
      <c r="B219" t="str">
        <f t="shared" si="3"/>
        <v>La Palma (Cabecera)</v>
      </c>
      <c r="C219">
        <v>5</v>
      </c>
      <c r="D219" t="s">
        <v>301</v>
      </c>
      <c r="E219">
        <v>8.1684103012084961</v>
      </c>
      <c r="F219">
        <v>-77.922096252441406</v>
      </c>
      <c r="G219">
        <v>48378</v>
      </c>
      <c r="H219">
        <v>501</v>
      </c>
      <c r="I219" t="s">
        <v>302</v>
      </c>
      <c r="J219">
        <v>7.8599100112915039</v>
      </c>
      <c r="K219">
        <v>-78.001800537109375</v>
      </c>
      <c r="L219">
        <v>30110</v>
      </c>
      <c r="M219">
        <v>50101</v>
      </c>
      <c r="N219" t="s">
        <v>303</v>
      </c>
      <c r="O219">
        <v>8.48114013671875</v>
      </c>
      <c r="P219">
        <v>-78.149101257324219</v>
      </c>
      <c r="Q219">
        <v>4205</v>
      </c>
    </row>
    <row r="220" spans="1:17" x14ac:dyDescent="0.25">
      <c r="A220">
        <v>209</v>
      </c>
      <c r="B220" t="str">
        <f t="shared" si="3"/>
        <v>Setegantí</v>
      </c>
      <c r="C220">
        <v>5</v>
      </c>
      <c r="D220" t="s">
        <v>301</v>
      </c>
      <c r="E220">
        <v>8.1684103012084961</v>
      </c>
      <c r="F220">
        <v>-77.922096252441406</v>
      </c>
      <c r="G220">
        <v>48378</v>
      </c>
      <c r="H220">
        <v>501</v>
      </c>
      <c r="I220" t="s">
        <v>302</v>
      </c>
      <c r="J220">
        <v>7.8599100112915039</v>
      </c>
      <c r="K220">
        <v>-78.001800537109375</v>
      </c>
      <c r="L220">
        <v>30110</v>
      </c>
      <c r="M220">
        <v>50110</v>
      </c>
      <c r="N220" t="s">
        <v>308</v>
      </c>
      <c r="O220">
        <v>8.3348798751831055</v>
      </c>
      <c r="P220">
        <v>-78.069602966308594</v>
      </c>
      <c r="Q220">
        <v>558</v>
      </c>
    </row>
    <row r="221" spans="1:17" x14ac:dyDescent="0.25">
      <c r="A221">
        <v>210</v>
      </c>
      <c r="B221" t="str">
        <f t="shared" si="3"/>
        <v>Chepigana</v>
      </c>
      <c r="C221">
        <v>5</v>
      </c>
      <c r="D221" t="s">
        <v>301</v>
      </c>
      <c r="E221">
        <v>8.1684103012084961</v>
      </c>
      <c r="F221">
        <v>-77.922096252441406</v>
      </c>
      <c r="G221">
        <v>48378</v>
      </c>
      <c r="H221">
        <v>501</v>
      </c>
      <c r="I221" t="s">
        <v>302</v>
      </c>
      <c r="J221">
        <v>7.8599100112915039</v>
      </c>
      <c r="K221">
        <v>-78.001800537109375</v>
      </c>
      <c r="L221">
        <v>30110</v>
      </c>
      <c r="M221">
        <v>50103</v>
      </c>
      <c r="N221" t="s">
        <v>302</v>
      </c>
      <c r="O221">
        <v>8.2599496841430664</v>
      </c>
      <c r="P221">
        <v>-78.026100158691406</v>
      </c>
      <c r="Q221">
        <v>704</v>
      </c>
    </row>
    <row r="222" spans="1:17" x14ac:dyDescent="0.25">
      <c r="A222">
        <v>211</v>
      </c>
      <c r="B222" t="str">
        <f t="shared" si="3"/>
        <v>El Real de Santa María (Cabecera)</v>
      </c>
      <c r="C222">
        <v>5</v>
      </c>
      <c r="D222" t="s">
        <v>301</v>
      </c>
      <c r="E222">
        <v>8.1684103012084961</v>
      </c>
      <c r="F222">
        <v>-77.922096252441406</v>
      </c>
      <c r="G222">
        <v>48378</v>
      </c>
      <c r="H222">
        <v>502</v>
      </c>
      <c r="I222" t="s">
        <v>312</v>
      </c>
      <c r="J222">
        <v>8.2430000305175781</v>
      </c>
      <c r="K222">
        <v>-77.693901062011719</v>
      </c>
      <c r="L222">
        <v>18268</v>
      </c>
      <c r="M222">
        <v>50201</v>
      </c>
      <c r="N222" t="s">
        <v>313</v>
      </c>
      <c r="O222">
        <v>8.0589799880981445</v>
      </c>
      <c r="P222">
        <v>-77.732597351074219</v>
      </c>
      <c r="Q222">
        <v>1183</v>
      </c>
    </row>
    <row r="223" spans="1:17" x14ac:dyDescent="0.25">
      <c r="A223">
        <v>212</v>
      </c>
      <c r="B223" t="str">
        <f t="shared" si="3"/>
        <v>Boca de Cupe</v>
      </c>
      <c r="C223">
        <v>5</v>
      </c>
      <c r="D223" t="s">
        <v>301</v>
      </c>
      <c r="E223">
        <v>8.1684103012084961</v>
      </c>
      <c r="F223">
        <v>-77.922096252441406</v>
      </c>
      <c r="G223">
        <v>48378</v>
      </c>
      <c r="H223">
        <v>502</v>
      </c>
      <c r="I223" t="s">
        <v>312</v>
      </c>
      <c r="J223">
        <v>8.2430000305175781</v>
      </c>
      <c r="K223">
        <v>-77.693901062011719</v>
      </c>
      <c r="L223">
        <v>18268</v>
      </c>
      <c r="M223">
        <v>50202</v>
      </c>
      <c r="N223" t="s">
        <v>314</v>
      </c>
      <c r="O223">
        <v>7.8227500915527344</v>
      </c>
      <c r="P223">
        <v>-77.624099731445313</v>
      </c>
      <c r="Q223">
        <v>1167</v>
      </c>
    </row>
    <row r="224" spans="1:17" x14ac:dyDescent="0.25">
      <c r="A224">
        <v>213</v>
      </c>
      <c r="B224" t="str">
        <f t="shared" si="3"/>
        <v>Paya</v>
      </c>
      <c r="C224">
        <v>5</v>
      </c>
      <c r="D224" t="s">
        <v>301</v>
      </c>
      <c r="E224">
        <v>8.1684103012084961</v>
      </c>
      <c r="F224">
        <v>-77.922096252441406</v>
      </c>
      <c r="G224">
        <v>48378</v>
      </c>
      <c r="H224">
        <v>502</v>
      </c>
      <c r="I224" t="s">
        <v>312</v>
      </c>
      <c r="J224">
        <v>8.2430000305175781</v>
      </c>
      <c r="K224">
        <v>-77.693901062011719</v>
      </c>
      <c r="L224">
        <v>18268</v>
      </c>
      <c r="M224">
        <v>50203</v>
      </c>
      <c r="N224" t="s">
        <v>315</v>
      </c>
      <c r="O224">
        <v>7.8243398666381836</v>
      </c>
      <c r="P224">
        <v>-77.436996459960938</v>
      </c>
      <c r="Q224">
        <v>639</v>
      </c>
    </row>
    <row r="225" spans="1:17" x14ac:dyDescent="0.25">
      <c r="A225">
        <v>214</v>
      </c>
      <c r="B225" t="str">
        <f t="shared" si="3"/>
        <v>Pinogana</v>
      </c>
      <c r="C225">
        <v>5</v>
      </c>
      <c r="D225" t="s">
        <v>301</v>
      </c>
      <c r="E225">
        <v>8.1684103012084961</v>
      </c>
      <c r="F225">
        <v>-77.922096252441406</v>
      </c>
      <c r="G225">
        <v>48378</v>
      </c>
      <c r="H225">
        <v>502</v>
      </c>
      <c r="I225" t="s">
        <v>312</v>
      </c>
      <c r="J225">
        <v>8.2430000305175781</v>
      </c>
      <c r="K225">
        <v>-77.693901062011719</v>
      </c>
      <c r="L225">
        <v>18268</v>
      </c>
      <c r="M225">
        <v>50204</v>
      </c>
      <c r="N225" t="s">
        <v>312</v>
      </c>
      <c r="O225">
        <v>8.0926103591918945</v>
      </c>
      <c r="P225">
        <v>-77.66259765625</v>
      </c>
      <c r="Q225">
        <v>405</v>
      </c>
    </row>
    <row r="226" spans="1:17" x14ac:dyDescent="0.25">
      <c r="A226">
        <v>215</v>
      </c>
      <c r="B226" t="str">
        <f t="shared" si="3"/>
        <v>Púcuro</v>
      </c>
      <c r="C226">
        <v>5</v>
      </c>
      <c r="D226" t="s">
        <v>301</v>
      </c>
      <c r="E226">
        <v>8.1684103012084961</v>
      </c>
      <c r="F226">
        <v>-77.922096252441406</v>
      </c>
      <c r="G226">
        <v>48378</v>
      </c>
      <c r="H226">
        <v>502</v>
      </c>
      <c r="I226" t="s">
        <v>312</v>
      </c>
      <c r="J226">
        <v>8.2430000305175781</v>
      </c>
      <c r="K226">
        <v>-77.693901062011719</v>
      </c>
      <c r="L226">
        <v>18268</v>
      </c>
      <c r="M226">
        <v>50205</v>
      </c>
      <c r="N226" t="s">
        <v>316</v>
      </c>
      <c r="O226">
        <v>7.9903302192687988</v>
      </c>
      <c r="P226">
        <v>-77.517601013183594</v>
      </c>
      <c r="Q226">
        <v>356</v>
      </c>
    </row>
    <row r="227" spans="1:17" x14ac:dyDescent="0.25">
      <c r="A227">
        <v>216</v>
      </c>
      <c r="B227" t="str">
        <f t="shared" si="3"/>
        <v>Yape</v>
      </c>
      <c r="C227">
        <v>5</v>
      </c>
      <c r="D227" t="s">
        <v>301</v>
      </c>
      <c r="E227">
        <v>8.1684103012084961</v>
      </c>
      <c r="F227">
        <v>-77.922096252441406</v>
      </c>
      <c r="G227">
        <v>48378</v>
      </c>
      <c r="H227">
        <v>502</v>
      </c>
      <c r="I227" t="s">
        <v>312</v>
      </c>
      <c r="J227">
        <v>8.2430000305175781</v>
      </c>
      <c r="K227">
        <v>-77.693901062011719</v>
      </c>
      <c r="L227">
        <v>18268</v>
      </c>
      <c r="M227">
        <v>50206</v>
      </c>
      <c r="N227" t="s">
        <v>317</v>
      </c>
      <c r="O227">
        <v>8.0620203018188477</v>
      </c>
      <c r="P227">
        <v>-77.411903381347656</v>
      </c>
      <c r="Q227">
        <v>187</v>
      </c>
    </row>
    <row r="228" spans="1:17" x14ac:dyDescent="0.25">
      <c r="A228">
        <v>217</v>
      </c>
      <c r="B228" t="str">
        <f t="shared" si="3"/>
        <v>Yaviza</v>
      </c>
      <c r="C228">
        <v>5</v>
      </c>
      <c r="D228" t="s">
        <v>301</v>
      </c>
      <c r="E228">
        <v>8.1684103012084961</v>
      </c>
      <c r="F228">
        <v>-77.922096252441406</v>
      </c>
      <c r="G228">
        <v>48378</v>
      </c>
      <c r="H228">
        <v>502</v>
      </c>
      <c r="I228" t="s">
        <v>312</v>
      </c>
      <c r="J228">
        <v>8.2430000305175781</v>
      </c>
      <c r="K228">
        <v>-77.693901062011719</v>
      </c>
      <c r="L228">
        <v>18268</v>
      </c>
      <c r="M228">
        <v>50207</v>
      </c>
      <c r="N228" t="s">
        <v>318</v>
      </c>
      <c r="O228">
        <v>8.2115201950073242</v>
      </c>
      <c r="P228">
        <v>-77.760902404785156</v>
      </c>
      <c r="Q228">
        <v>4441</v>
      </c>
    </row>
    <row r="229" spans="1:17" x14ac:dyDescent="0.25">
      <c r="A229">
        <v>218</v>
      </c>
      <c r="B229" t="str">
        <f t="shared" si="3"/>
        <v>Metetí</v>
      </c>
      <c r="C229">
        <v>5</v>
      </c>
      <c r="D229" t="s">
        <v>301</v>
      </c>
      <c r="E229">
        <v>8.1684103012084961</v>
      </c>
      <c r="F229">
        <v>-77.922096252441406</v>
      </c>
      <c r="G229">
        <v>48378</v>
      </c>
      <c r="H229">
        <v>502</v>
      </c>
      <c r="I229" t="s">
        <v>312</v>
      </c>
      <c r="J229">
        <v>8.2430000305175781</v>
      </c>
      <c r="K229">
        <v>-77.693901062011719</v>
      </c>
      <c r="L229">
        <v>18268</v>
      </c>
      <c r="M229">
        <v>50208</v>
      </c>
      <c r="N229" t="s">
        <v>319</v>
      </c>
      <c r="O229">
        <v>8.584589958190918</v>
      </c>
      <c r="P229">
        <v>-77.921302795410156</v>
      </c>
      <c r="Q229">
        <v>7976</v>
      </c>
    </row>
    <row r="230" spans="1:17" x14ac:dyDescent="0.25">
      <c r="A230">
        <v>219</v>
      </c>
      <c r="B230" t="str">
        <f t="shared" si="3"/>
        <v>Comarca Kuna de Wargandí</v>
      </c>
      <c r="C230">
        <v>5</v>
      </c>
      <c r="D230" t="s">
        <v>301</v>
      </c>
      <c r="E230">
        <v>8.1684103012084961</v>
      </c>
      <c r="F230">
        <v>-77.922096252441406</v>
      </c>
      <c r="G230">
        <v>48378</v>
      </c>
      <c r="H230">
        <v>502</v>
      </c>
      <c r="I230" t="s">
        <v>312</v>
      </c>
      <c r="J230">
        <v>8.2430000305175781</v>
      </c>
      <c r="K230">
        <v>-77.693901062011719</v>
      </c>
      <c r="L230">
        <v>18268</v>
      </c>
      <c r="M230">
        <v>50209</v>
      </c>
      <c r="N230" t="s">
        <v>320</v>
      </c>
      <c r="O230">
        <v>8.9049797058105469</v>
      </c>
      <c r="P230">
        <v>-77.978401184082031</v>
      </c>
      <c r="Q230">
        <v>1914</v>
      </c>
    </row>
    <row r="231" spans="1:17" x14ac:dyDescent="0.25">
      <c r="A231">
        <v>220</v>
      </c>
      <c r="B231" t="str">
        <f t="shared" si="3"/>
        <v>Yaviza</v>
      </c>
      <c r="C231">
        <v>5</v>
      </c>
      <c r="D231" t="s">
        <v>301</v>
      </c>
      <c r="E231">
        <v>8.1684103012084961</v>
      </c>
      <c r="F231">
        <v>-77.922096252441406</v>
      </c>
      <c r="G231">
        <v>48378</v>
      </c>
      <c r="H231">
        <v>502</v>
      </c>
      <c r="I231" t="s">
        <v>312</v>
      </c>
      <c r="J231">
        <v>8.2430000305175781</v>
      </c>
      <c r="K231">
        <v>-77.693901062011719</v>
      </c>
      <c r="L231">
        <v>18268</v>
      </c>
      <c r="M231">
        <v>50207</v>
      </c>
      <c r="N231" t="s">
        <v>318</v>
      </c>
      <c r="O231">
        <v>8.1320295333862305</v>
      </c>
      <c r="P231">
        <v>-77.809898376464844</v>
      </c>
      <c r="Q231">
        <v>4441</v>
      </c>
    </row>
    <row r="232" spans="1:17" x14ac:dyDescent="0.25">
      <c r="A232">
        <v>221</v>
      </c>
      <c r="B232" t="str">
        <f t="shared" si="3"/>
        <v>El Real de Santa María (Cabecera)</v>
      </c>
      <c r="C232">
        <v>5</v>
      </c>
      <c r="D232" t="s">
        <v>301</v>
      </c>
      <c r="E232">
        <v>8.1684103012084961</v>
      </c>
      <c r="F232">
        <v>-77.922096252441406</v>
      </c>
      <c r="G232">
        <v>48378</v>
      </c>
      <c r="H232">
        <v>502</v>
      </c>
      <c r="I232" t="s">
        <v>312</v>
      </c>
      <c r="J232">
        <v>8.2430000305175781</v>
      </c>
      <c r="K232">
        <v>-77.693901062011719</v>
      </c>
      <c r="L232">
        <v>18268</v>
      </c>
      <c r="M232">
        <v>50201</v>
      </c>
      <c r="N232" t="s">
        <v>313</v>
      </c>
      <c r="O232">
        <v>8.1317901611328125</v>
      </c>
      <c r="P232">
        <v>-77.813003540039063</v>
      </c>
      <c r="Q232">
        <v>1183</v>
      </c>
    </row>
    <row r="233" spans="1:17" x14ac:dyDescent="0.25">
      <c r="A233">
        <v>222</v>
      </c>
      <c r="B233" t="str">
        <f t="shared" si="3"/>
        <v>Chitré (Cabecera)</v>
      </c>
      <c r="C233">
        <v>6</v>
      </c>
      <c r="D233" t="s">
        <v>321</v>
      </c>
      <c r="E233">
        <v>7.8753299713134766</v>
      </c>
      <c r="F233">
        <v>-80.706199645996094</v>
      </c>
      <c r="G233">
        <v>109955</v>
      </c>
      <c r="H233">
        <v>601</v>
      </c>
      <c r="I233" t="s">
        <v>322</v>
      </c>
      <c r="J233">
        <v>7.9766898155212402</v>
      </c>
      <c r="K233">
        <v>-80.449501037597656</v>
      </c>
      <c r="L233">
        <v>50684</v>
      </c>
      <c r="M233">
        <v>60101</v>
      </c>
      <c r="N233" t="s">
        <v>323</v>
      </c>
      <c r="O233">
        <v>7.9528999328613281</v>
      </c>
      <c r="P233">
        <v>-80.438697814941406</v>
      </c>
      <c r="Q233">
        <v>9092</v>
      </c>
    </row>
    <row r="234" spans="1:17" x14ac:dyDescent="0.25">
      <c r="A234">
        <v>223</v>
      </c>
      <c r="B234" t="str">
        <f t="shared" si="3"/>
        <v>La Arena</v>
      </c>
      <c r="C234">
        <v>6</v>
      </c>
      <c r="D234" t="s">
        <v>321</v>
      </c>
      <c r="E234">
        <v>7.8753299713134766</v>
      </c>
      <c r="F234">
        <v>-80.706199645996094</v>
      </c>
      <c r="G234">
        <v>109955</v>
      </c>
      <c r="H234">
        <v>601</v>
      </c>
      <c r="I234" t="s">
        <v>322</v>
      </c>
      <c r="J234">
        <v>7.9766898155212402</v>
      </c>
      <c r="K234">
        <v>-80.449501037597656</v>
      </c>
      <c r="L234">
        <v>50684</v>
      </c>
      <c r="M234">
        <v>60102</v>
      </c>
      <c r="N234" t="s">
        <v>324</v>
      </c>
      <c r="O234">
        <v>7.9622797966003418</v>
      </c>
      <c r="P234">
        <v>-80.482002258300781</v>
      </c>
      <c r="Q234">
        <v>7586</v>
      </c>
    </row>
    <row r="235" spans="1:17" x14ac:dyDescent="0.25">
      <c r="A235">
        <v>224</v>
      </c>
      <c r="B235" t="str">
        <f t="shared" si="3"/>
        <v>Monagrillo</v>
      </c>
      <c r="C235">
        <v>6</v>
      </c>
      <c r="D235" t="s">
        <v>321</v>
      </c>
      <c r="E235">
        <v>7.8753299713134766</v>
      </c>
      <c r="F235">
        <v>-80.706199645996094</v>
      </c>
      <c r="G235">
        <v>109955</v>
      </c>
      <c r="H235">
        <v>601</v>
      </c>
      <c r="I235" t="s">
        <v>322</v>
      </c>
      <c r="J235">
        <v>7.9766898155212402</v>
      </c>
      <c r="K235">
        <v>-80.449501037597656</v>
      </c>
      <c r="L235">
        <v>50684</v>
      </c>
      <c r="M235">
        <v>60103</v>
      </c>
      <c r="N235" t="s">
        <v>325</v>
      </c>
      <c r="O235">
        <v>7.9989299774169922</v>
      </c>
      <c r="P235">
        <v>-80.448699951171875</v>
      </c>
      <c r="Q235">
        <v>12385</v>
      </c>
    </row>
    <row r="236" spans="1:17" x14ac:dyDescent="0.25">
      <c r="A236">
        <v>225</v>
      </c>
      <c r="B236" t="str">
        <f t="shared" si="3"/>
        <v>Llano Bonito</v>
      </c>
      <c r="C236">
        <v>6</v>
      </c>
      <c r="D236" t="s">
        <v>321</v>
      </c>
      <c r="E236">
        <v>7.8753299713134766</v>
      </c>
      <c r="F236">
        <v>-80.706199645996094</v>
      </c>
      <c r="G236">
        <v>109955</v>
      </c>
      <c r="H236">
        <v>601</v>
      </c>
      <c r="I236" t="s">
        <v>322</v>
      </c>
      <c r="J236">
        <v>7.9766898155212402</v>
      </c>
      <c r="K236">
        <v>-80.449501037597656</v>
      </c>
      <c r="L236">
        <v>50684</v>
      </c>
      <c r="M236">
        <v>60104</v>
      </c>
      <c r="N236" t="s">
        <v>326</v>
      </c>
      <c r="O236">
        <v>7.9904999732971191</v>
      </c>
      <c r="P236">
        <v>-80.412002563476563</v>
      </c>
      <c r="Q236">
        <v>9798</v>
      </c>
    </row>
    <row r="237" spans="1:17" x14ac:dyDescent="0.25">
      <c r="A237">
        <v>226</v>
      </c>
      <c r="B237" t="str">
        <f t="shared" si="3"/>
        <v>San Juan Bautista</v>
      </c>
      <c r="C237">
        <v>6</v>
      </c>
      <c r="D237" t="s">
        <v>321</v>
      </c>
      <c r="E237">
        <v>7.8753299713134766</v>
      </c>
      <c r="F237">
        <v>-80.706199645996094</v>
      </c>
      <c r="G237">
        <v>109955</v>
      </c>
      <c r="H237">
        <v>601</v>
      </c>
      <c r="I237" t="s">
        <v>322</v>
      </c>
      <c r="J237">
        <v>7.9766898155212402</v>
      </c>
      <c r="K237">
        <v>-80.449501037597656</v>
      </c>
      <c r="L237">
        <v>50684</v>
      </c>
      <c r="M237">
        <v>60105</v>
      </c>
      <c r="N237" t="s">
        <v>327</v>
      </c>
      <c r="O237">
        <v>7.967440128326416</v>
      </c>
      <c r="P237">
        <v>-80.413597106933594</v>
      </c>
      <c r="Q237">
        <v>11823</v>
      </c>
    </row>
    <row r="238" spans="1:17" x14ac:dyDescent="0.25">
      <c r="A238">
        <v>227</v>
      </c>
      <c r="B238" t="str">
        <f t="shared" si="3"/>
        <v>Las Minas (Cabecera)</v>
      </c>
      <c r="C238">
        <v>6</v>
      </c>
      <c r="D238" t="s">
        <v>321</v>
      </c>
      <c r="E238">
        <v>7.8753299713134766</v>
      </c>
      <c r="F238">
        <v>-80.706199645996094</v>
      </c>
      <c r="G238">
        <v>109955</v>
      </c>
      <c r="H238">
        <v>602</v>
      </c>
      <c r="I238" t="s">
        <v>328</v>
      </c>
      <c r="J238">
        <v>7.731719970703125</v>
      </c>
      <c r="K238">
        <v>-80.799797058105469</v>
      </c>
      <c r="L238">
        <v>7551</v>
      </c>
      <c r="M238">
        <v>60201</v>
      </c>
      <c r="N238" t="s">
        <v>329</v>
      </c>
      <c r="O238">
        <v>7.7913198471069336</v>
      </c>
      <c r="P238">
        <v>-80.731498718261719</v>
      </c>
      <c r="Q238">
        <v>1975</v>
      </c>
    </row>
    <row r="239" spans="1:17" x14ac:dyDescent="0.25">
      <c r="A239">
        <v>228</v>
      </c>
      <c r="B239" t="str">
        <f t="shared" si="3"/>
        <v>Chepo</v>
      </c>
      <c r="C239">
        <v>6</v>
      </c>
      <c r="D239" t="s">
        <v>321</v>
      </c>
      <c r="E239">
        <v>7.8753299713134766</v>
      </c>
      <c r="F239">
        <v>-80.706199645996094</v>
      </c>
      <c r="G239">
        <v>109955</v>
      </c>
      <c r="H239">
        <v>602</v>
      </c>
      <c r="I239" t="s">
        <v>328</v>
      </c>
      <c r="J239">
        <v>7.731719970703125</v>
      </c>
      <c r="K239">
        <v>-80.799797058105469</v>
      </c>
      <c r="L239">
        <v>7551</v>
      </c>
      <c r="M239">
        <v>60202</v>
      </c>
      <c r="N239" t="s">
        <v>330</v>
      </c>
      <c r="O239">
        <v>7.6671299934387207</v>
      </c>
      <c r="P239">
        <v>-80.818801879882813</v>
      </c>
      <c r="Q239">
        <v>1415</v>
      </c>
    </row>
    <row r="240" spans="1:17" x14ac:dyDescent="0.25">
      <c r="A240">
        <v>229</v>
      </c>
      <c r="B240" t="str">
        <f t="shared" si="3"/>
        <v>Chumical</v>
      </c>
      <c r="C240">
        <v>6</v>
      </c>
      <c r="D240" t="s">
        <v>321</v>
      </c>
      <c r="E240">
        <v>7.8753299713134766</v>
      </c>
      <c r="F240">
        <v>-80.706199645996094</v>
      </c>
      <c r="G240">
        <v>109955</v>
      </c>
      <c r="H240">
        <v>602</v>
      </c>
      <c r="I240" t="s">
        <v>328</v>
      </c>
      <c r="J240">
        <v>7.731719970703125</v>
      </c>
      <c r="K240">
        <v>-80.799797058105469</v>
      </c>
      <c r="L240">
        <v>7551</v>
      </c>
      <c r="M240">
        <v>60203</v>
      </c>
      <c r="N240" t="s">
        <v>331</v>
      </c>
      <c r="O240">
        <v>7.837130069732666</v>
      </c>
      <c r="P240">
        <v>-80.737602233886719</v>
      </c>
      <c r="Q240">
        <v>665</v>
      </c>
    </row>
    <row r="241" spans="1:17" x14ac:dyDescent="0.25">
      <c r="A241">
        <v>230</v>
      </c>
      <c r="B241" t="str">
        <f t="shared" si="3"/>
        <v>El Toro</v>
      </c>
      <c r="C241">
        <v>6</v>
      </c>
      <c r="D241" t="s">
        <v>321</v>
      </c>
      <c r="E241">
        <v>7.8753299713134766</v>
      </c>
      <c r="F241">
        <v>-80.706199645996094</v>
      </c>
      <c r="G241">
        <v>109955</v>
      </c>
      <c r="H241">
        <v>602</v>
      </c>
      <c r="I241" t="s">
        <v>328</v>
      </c>
      <c r="J241">
        <v>7.731719970703125</v>
      </c>
      <c r="K241">
        <v>-80.799797058105469</v>
      </c>
      <c r="L241">
        <v>7551</v>
      </c>
      <c r="M241">
        <v>60204</v>
      </c>
      <c r="N241" t="s">
        <v>332</v>
      </c>
      <c r="O241">
        <v>7.7526202201843262</v>
      </c>
      <c r="P241">
        <v>-80.889198303222656</v>
      </c>
      <c r="Q241">
        <v>931</v>
      </c>
    </row>
    <row r="242" spans="1:17" x14ac:dyDescent="0.25">
      <c r="A242">
        <v>231</v>
      </c>
      <c r="B242" t="str">
        <f t="shared" si="3"/>
        <v>Leones</v>
      </c>
      <c r="C242">
        <v>6</v>
      </c>
      <c r="D242" t="s">
        <v>321</v>
      </c>
      <c r="E242">
        <v>7.8753299713134766</v>
      </c>
      <c r="F242">
        <v>-80.706199645996094</v>
      </c>
      <c r="G242">
        <v>109955</v>
      </c>
      <c r="H242">
        <v>602</v>
      </c>
      <c r="I242" t="s">
        <v>328</v>
      </c>
      <c r="J242">
        <v>7.731719970703125</v>
      </c>
      <c r="K242">
        <v>-80.799797058105469</v>
      </c>
      <c r="L242">
        <v>7551</v>
      </c>
      <c r="M242">
        <v>60205</v>
      </c>
      <c r="N242" t="s">
        <v>333</v>
      </c>
      <c r="O242">
        <v>7.7786698341369629</v>
      </c>
      <c r="P242">
        <v>-80.804496765136719</v>
      </c>
      <c r="Q242">
        <v>852</v>
      </c>
    </row>
    <row r="243" spans="1:17" x14ac:dyDescent="0.25">
      <c r="A243">
        <v>232</v>
      </c>
      <c r="B243" t="str">
        <f t="shared" si="3"/>
        <v>Quebrada del Rosario</v>
      </c>
      <c r="C243">
        <v>6</v>
      </c>
      <c r="D243" t="s">
        <v>321</v>
      </c>
      <c r="E243">
        <v>7.8753299713134766</v>
      </c>
      <c r="F243">
        <v>-80.706199645996094</v>
      </c>
      <c r="G243">
        <v>109955</v>
      </c>
      <c r="H243">
        <v>602</v>
      </c>
      <c r="I243" t="s">
        <v>328</v>
      </c>
      <c r="J243">
        <v>7.731719970703125</v>
      </c>
      <c r="K243">
        <v>-80.799797058105469</v>
      </c>
      <c r="L243">
        <v>7551</v>
      </c>
      <c r="M243">
        <v>60206</v>
      </c>
      <c r="N243" t="s">
        <v>334</v>
      </c>
      <c r="O243">
        <v>7.7315797805786133</v>
      </c>
      <c r="P243">
        <v>-80.731101989746094</v>
      </c>
      <c r="Q243">
        <v>794</v>
      </c>
    </row>
    <row r="244" spans="1:17" x14ac:dyDescent="0.25">
      <c r="A244">
        <v>233</v>
      </c>
      <c r="B244" t="str">
        <f t="shared" si="3"/>
        <v>Quebrada El Ciprián</v>
      </c>
      <c r="C244">
        <v>6</v>
      </c>
      <c r="D244" t="s">
        <v>321</v>
      </c>
      <c r="E244">
        <v>7.8753299713134766</v>
      </c>
      <c r="F244">
        <v>-80.706199645996094</v>
      </c>
      <c r="G244">
        <v>109955</v>
      </c>
      <c r="H244">
        <v>602</v>
      </c>
      <c r="I244" t="s">
        <v>328</v>
      </c>
      <c r="J244">
        <v>7.731719970703125</v>
      </c>
      <c r="K244">
        <v>-80.799797058105469</v>
      </c>
      <c r="L244">
        <v>7551</v>
      </c>
      <c r="M244">
        <v>60207</v>
      </c>
      <c r="N244" t="s">
        <v>335</v>
      </c>
      <c r="O244">
        <v>7.684539794921875</v>
      </c>
      <c r="P244">
        <v>-80.756797790527344</v>
      </c>
      <c r="Q244">
        <v>919</v>
      </c>
    </row>
    <row r="245" spans="1:17" x14ac:dyDescent="0.25">
      <c r="A245">
        <v>234</v>
      </c>
      <c r="B245" t="str">
        <f t="shared" si="3"/>
        <v>Los Pozos (Cabecera)</v>
      </c>
      <c r="C245">
        <v>6</v>
      </c>
      <c r="D245" t="s">
        <v>321</v>
      </c>
      <c r="E245">
        <v>7.8753299713134766</v>
      </c>
      <c r="F245">
        <v>-80.706199645996094</v>
      </c>
      <c r="G245">
        <v>109955</v>
      </c>
      <c r="H245">
        <v>603</v>
      </c>
      <c r="I245" t="s">
        <v>336</v>
      </c>
      <c r="J245">
        <v>7.6935100555419922</v>
      </c>
      <c r="K245">
        <v>-80.668701171875</v>
      </c>
      <c r="L245">
        <v>7478</v>
      </c>
      <c r="M245">
        <v>60301</v>
      </c>
      <c r="N245" t="s">
        <v>337</v>
      </c>
      <c r="O245">
        <v>7.7866702079772949</v>
      </c>
      <c r="P245">
        <v>-80.659599304199219</v>
      </c>
      <c r="Q245">
        <v>2199</v>
      </c>
    </row>
    <row r="246" spans="1:17" x14ac:dyDescent="0.25">
      <c r="A246">
        <v>235</v>
      </c>
      <c r="B246" t="str">
        <f t="shared" si="3"/>
        <v>El Capurí</v>
      </c>
      <c r="C246">
        <v>6</v>
      </c>
      <c r="D246" t="s">
        <v>321</v>
      </c>
      <c r="E246">
        <v>7.8753299713134766</v>
      </c>
      <c r="F246">
        <v>-80.706199645996094</v>
      </c>
      <c r="G246">
        <v>109955</v>
      </c>
      <c r="H246">
        <v>603</v>
      </c>
      <c r="I246" t="s">
        <v>336</v>
      </c>
      <c r="J246">
        <v>7.6935100555419922</v>
      </c>
      <c r="K246">
        <v>-80.668701171875</v>
      </c>
      <c r="L246">
        <v>7478</v>
      </c>
      <c r="M246">
        <v>60302</v>
      </c>
      <c r="N246" t="s">
        <v>338</v>
      </c>
      <c r="O246">
        <v>7.727869987487793</v>
      </c>
      <c r="P246">
        <v>-80.650199890136719</v>
      </c>
      <c r="Q246">
        <v>446</v>
      </c>
    </row>
    <row r="247" spans="1:17" x14ac:dyDescent="0.25">
      <c r="A247">
        <v>236</v>
      </c>
      <c r="B247" t="str">
        <f t="shared" si="3"/>
        <v>El Calabacito</v>
      </c>
      <c r="C247">
        <v>6</v>
      </c>
      <c r="D247" t="s">
        <v>321</v>
      </c>
      <c r="E247">
        <v>7.8753299713134766</v>
      </c>
      <c r="F247">
        <v>-80.706199645996094</v>
      </c>
      <c r="G247">
        <v>109955</v>
      </c>
      <c r="H247">
        <v>603</v>
      </c>
      <c r="I247" t="s">
        <v>336</v>
      </c>
      <c r="J247">
        <v>7.6935100555419922</v>
      </c>
      <c r="K247">
        <v>-80.668701171875</v>
      </c>
      <c r="L247">
        <v>7478</v>
      </c>
      <c r="M247">
        <v>60303</v>
      </c>
      <c r="N247" t="s">
        <v>339</v>
      </c>
      <c r="O247">
        <v>7.7123398780822754</v>
      </c>
      <c r="P247">
        <v>-80.595901489257813</v>
      </c>
      <c r="Q247">
        <v>617</v>
      </c>
    </row>
    <row r="248" spans="1:17" x14ac:dyDescent="0.25">
      <c r="A248">
        <v>237</v>
      </c>
      <c r="B248" t="str">
        <f t="shared" si="3"/>
        <v>El Cedro</v>
      </c>
      <c r="C248">
        <v>6</v>
      </c>
      <c r="D248" t="s">
        <v>321</v>
      </c>
      <c r="E248">
        <v>7.8753299713134766</v>
      </c>
      <c r="F248">
        <v>-80.706199645996094</v>
      </c>
      <c r="G248">
        <v>109955</v>
      </c>
      <c r="H248">
        <v>603</v>
      </c>
      <c r="I248" t="s">
        <v>336</v>
      </c>
      <c r="J248">
        <v>7.6935100555419922</v>
      </c>
      <c r="K248">
        <v>-80.668701171875</v>
      </c>
      <c r="L248">
        <v>7478</v>
      </c>
      <c r="M248">
        <v>60304</v>
      </c>
      <c r="N248" t="s">
        <v>340</v>
      </c>
      <c r="O248">
        <v>7.6854100227355957</v>
      </c>
      <c r="P248">
        <v>-80.649299621582031</v>
      </c>
      <c r="Q248">
        <v>503</v>
      </c>
    </row>
    <row r="249" spans="1:17" x14ac:dyDescent="0.25">
      <c r="A249">
        <v>238</v>
      </c>
      <c r="B249" t="str">
        <f t="shared" si="3"/>
        <v>La Arena</v>
      </c>
      <c r="C249">
        <v>6</v>
      </c>
      <c r="D249" t="s">
        <v>321</v>
      </c>
      <c r="E249">
        <v>7.8753299713134766</v>
      </c>
      <c r="F249">
        <v>-80.706199645996094</v>
      </c>
      <c r="G249">
        <v>109955</v>
      </c>
      <c r="H249">
        <v>603</v>
      </c>
      <c r="I249" t="s">
        <v>336</v>
      </c>
      <c r="J249">
        <v>7.6935100555419922</v>
      </c>
      <c r="K249">
        <v>-80.668701171875</v>
      </c>
      <c r="L249">
        <v>7478</v>
      </c>
      <c r="M249">
        <v>60305</v>
      </c>
      <c r="N249" t="s">
        <v>324</v>
      </c>
      <c r="O249">
        <v>7.7487201690673828</v>
      </c>
      <c r="P249">
        <v>-80.592697143554688</v>
      </c>
      <c r="Q249">
        <v>559</v>
      </c>
    </row>
    <row r="250" spans="1:17" x14ac:dyDescent="0.25">
      <c r="A250">
        <v>239</v>
      </c>
      <c r="B250" t="str">
        <f t="shared" si="3"/>
        <v>La Pitaloza</v>
      </c>
      <c r="C250">
        <v>6</v>
      </c>
      <c r="D250" t="s">
        <v>321</v>
      </c>
      <c r="E250">
        <v>7.8753299713134766</v>
      </c>
      <c r="F250">
        <v>-80.706199645996094</v>
      </c>
      <c r="G250">
        <v>109955</v>
      </c>
      <c r="H250">
        <v>603</v>
      </c>
      <c r="I250" t="s">
        <v>336</v>
      </c>
      <c r="J250">
        <v>7.6935100555419922</v>
      </c>
      <c r="K250">
        <v>-80.668701171875</v>
      </c>
      <c r="L250">
        <v>7478</v>
      </c>
      <c r="M250">
        <v>60306</v>
      </c>
      <c r="N250" t="s">
        <v>341</v>
      </c>
      <c r="O250">
        <v>7.6011199951171875</v>
      </c>
      <c r="P250">
        <v>-80.701202392578125</v>
      </c>
      <c r="Q250">
        <v>674</v>
      </c>
    </row>
    <row r="251" spans="1:17" x14ac:dyDescent="0.25">
      <c r="A251">
        <v>240</v>
      </c>
      <c r="B251" t="str">
        <f t="shared" si="3"/>
        <v>Los Cerritos</v>
      </c>
      <c r="C251">
        <v>6</v>
      </c>
      <c r="D251" t="s">
        <v>321</v>
      </c>
      <c r="E251">
        <v>7.8753299713134766</v>
      </c>
      <c r="F251">
        <v>-80.706199645996094</v>
      </c>
      <c r="G251">
        <v>109955</v>
      </c>
      <c r="H251">
        <v>603</v>
      </c>
      <c r="I251" t="s">
        <v>336</v>
      </c>
      <c r="J251">
        <v>7.6935100555419922</v>
      </c>
      <c r="K251">
        <v>-80.668701171875</v>
      </c>
      <c r="L251">
        <v>7478</v>
      </c>
      <c r="M251">
        <v>60307</v>
      </c>
      <c r="N251" t="s">
        <v>342</v>
      </c>
      <c r="O251">
        <v>7.793910026550293</v>
      </c>
      <c r="P251">
        <v>-80.615402221679688</v>
      </c>
      <c r="Q251">
        <v>985</v>
      </c>
    </row>
    <row r="252" spans="1:17" x14ac:dyDescent="0.25">
      <c r="A252">
        <v>241</v>
      </c>
      <c r="B252" t="str">
        <f t="shared" si="3"/>
        <v>Los Cerros de Paja</v>
      </c>
      <c r="C252">
        <v>6</v>
      </c>
      <c r="D252" t="s">
        <v>321</v>
      </c>
      <c r="E252">
        <v>7.8753299713134766</v>
      </c>
      <c r="F252">
        <v>-80.706199645996094</v>
      </c>
      <c r="G252">
        <v>109955</v>
      </c>
      <c r="H252">
        <v>603</v>
      </c>
      <c r="I252" t="s">
        <v>336</v>
      </c>
      <c r="J252">
        <v>7.6935100555419922</v>
      </c>
      <c r="K252">
        <v>-80.668701171875</v>
      </c>
      <c r="L252">
        <v>7478</v>
      </c>
      <c r="M252">
        <v>60308</v>
      </c>
      <c r="N252" t="s">
        <v>343</v>
      </c>
      <c r="O252">
        <v>7.7099699974060059</v>
      </c>
      <c r="P252">
        <v>-80.691200256347656</v>
      </c>
      <c r="Q252">
        <v>896</v>
      </c>
    </row>
    <row r="253" spans="1:17" x14ac:dyDescent="0.25">
      <c r="A253">
        <v>242</v>
      </c>
      <c r="B253" t="str">
        <f t="shared" si="3"/>
        <v>Las Llanas</v>
      </c>
      <c r="C253">
        <v>6</v>
      </c>
      <c r="D253" t="s">
        <v>321</v>
      </c>
      <c r="E253">
        <v>7.8753299713134766</v>
      </c>
      <c r="F253">
        <v>-80.706199645996094</v>
      </c>
      <c r="G253">
        <v>109955</v>
      </c>
      <c r="H253">
        <v>603</v>
      </c>
      <c r="I253" t="s">
        <v>336</v>
      </c>
      <c r="J253">
        <v>7.6935100555419922</v>
      </c>
      <c r="K253">
        <v>-80.668701171875</v>
      </c>
      <c r="L253">
        <v>7478</v>
      </c>
      <c r="M253">
        <v>60309</v>
      </c>
      <c r="N253" t="s">
        <v>344</v>
      </c>
      <c r="O253">
        <v>7.6325101852416992</v>
      </c>
      <c r="P253">
        <v>-80.733100891113281</v>
      </c>
      <c r="Q253">
        <v>599</v>
      </c>
    </row>
    <row r="254" spans="1:17" x14ac:dyDescent="0.25">
      <c r="A254">
        <v>243</v>
      </c>
      <c r="B254" t="str">
        <f t="shared" si="3"/>
        <v>Ocú (Cabecera)</v>
      </c>
      <c r="C254">
        <v>6</v>
      </c>
      <c r="D254" t="s">
        <v>321</v>
      </c>
      <c r="E254">
        <v>7.8753299713134766</v>
      </c>
      <c r="F254">
        <v>-80.706199645996094</v>
      </c>
      <c r="G254">
        <v>109955</v>
      </c>
      <c r="H254">
        <v>604</v>
      </c>
      <c r="I254" t="s">
        <v>345</v>
      </c>
      <c r="J254">
        <v>7.9245400428771973</v>
      </c>
      <c r="K254">
        <v>-80.812202453613281</v>
      </c>
      <c r="L254">
        <v>15539</v>
      </c>
      <c r="M254">
        <v>60401</v>
      </c>
      <c r="N254" t="s">
        <v>346</v>
      </c>
      <c r="O254">
        <v>7.9543800354003906</v>
      </c>
      <c r="P254">
        <v>-80.782600402832031</v>
      </c>
      <c r="Q254">
        <v>7006</v>
      </c>
    </row>
    <row r="255" spans="1:17" x14ac:dyDescent="0.25">
      <c r="A255">
        <v>244</v>
      </c>
      <c r="B255" t="str">
        <f t="shared" si="3"/>
        <v>Cerro Largo</v>
      </c>
      <c r="C255">
        <v>6</v>
      </c>
      <c r="D255" t="s">
        <v>321</v>
      </c>
      <c r="E255">
        <v>7.8753299713134766</v>
      </c>
      <c r="F255">
        <v>-80.706199645996094</v>
      </c>
      <c r="G255">
        <v>109955</v>
      </c>
      <c r="H255">
        <v>604</v>
      </c>
      <c r="I255" t="s">
        <v>345</v>
      </c>
      <c r="J255">
        <v>7.9245400428771973</v>
      </c>
      <c r="K255">
        <v>-80.812202453613281</v>
      </c>
      <c r="L255">
        <v>15539</v>
      </c>
      <c r="M255">
        <v>60402</v>
      </c>
      <c r="N255" t="s">
        <v>347</v>
      </c>
      <c r="O255">
        <v>7.8309698104858398</v>
      </c>
      <c r="P255">
        <v>-80.819503784179688</v>
      </c>
      <c r="Q255">
        <v>1478</v>
      </c>
    </row>
    <row r="256" spans="1:17" x14ac:dyDescent="0.25">
      <c r="A256">
        <v>245</v>
      </c>
      <c r="B256" t="str">
        <f t="shared" si="3"/>
        <v>Los Llanos</v>
      </c>
      <c r="C256">
        <v>6</v>
      </c>
      <c r="D256" t="s">
        <v>321</v>
      </c>
      <c r="E256">
        <v>7.8753299713134766</v>
      </c>
      <c r="F256">
        <v>-80.706199645996094</v>
      </c>
      <c r="G256">
        <v>109955</v>
      </c>
      <c r="H256">
        <v>604</v>
      </c>
      <c r="I256" t="s">
        <v>345</v>
      </c>
      <c r="J256">
        <v>7.9245400428771973</v>
      </c>
      <c r="K256">
        <v>-80.812202453613281</v>
      </c>
      <c r="L256">
        <v>15539</v>
      </c>
      <c r="M256">
        <v>60403</v>
      </c>
      <c r="N256" t="s">
        <v>348</v>
      </c>
      <c r="O256">
        <v>7.9272499084472656</v>
      </c>
      <c r="P256">
        <v>-80.871803283691406</v>
      </c>
      <c r="Q256">
        <v>2110</v>
      </c>
    </row>
    <row r="257" spans="1:17" x14ac:dyDescent="0.25">
      <c r="A257">
        <v>246</v>
      </c>
      <c r="B257" t="str">
        <f t="shared" si="3"/>
        <v>Llano Grande</v>
      </c>
      <c r="C257">
        <v>6</v>
      </c>
      <c r="D257" t="s">
        <v>321</v>
      </c>
      <c r="E257">
        <v>7.8753299713134766</v>
      </c>
      <c r="F257">
        <v>-80.706199645996094</v>
      </c>
      <c r="G257">
        <v>109955</v>
      </c>
      <c r="H257">
        <v>604</v>
      </c>
      <c r="I257" t="s">
        <v>345</v>
      </c>
      <c r="J257">
        <v>7.9245400428771973</v>
      </c>
      <c r="K257">
        <v>-80.812202453613281</v>
      </c>
      <c r="L257">
        <v>15539</v>
      </c>
      <c r="M257">
        <v>60404</v>
      </c>
      <c r="N257" t="s">
        <v>138</v>
      </c>
      <c r="O257">
        <v>7.9790301322937012</v>
      </c>
      <c r="P257">
        <v>-80.697700500488281</v>
      </c>
      <c r="Q257">
        <v>1062</v>
      </c>
    </row>
    <row r="258" spans="1:17" x14ac:dyDescent="0.25">
      <c r="A258">
        <v>247</v>
      </c>
      <c r="B258" t="str">
        <f t="shared" si="3"/>
        <v>Peña Chatas</v>
      </c>
      <c r="C258">
        <v>6</v>
      </c>
      <c r="D258" t="s">
        <v>321</v>
      </c>
      <c r="E258">
        <v>7.8753299713134766</v>
      </c>
      <c r="F258">
        <v>-80.706199645996094</v>
      </c>
      <c r="G258">
        <v>109955</v>
      </c>
      <c r="H258">
        <v>604</v>
      </c>
      <c r="I258" t="s">
        <v>345</v>
      </c>
      <c r="J258">
        <v>7.9245400428771973</v>
      </c>
      <c r="K258">
        <v>-80.812202453613281</v>
      </c>
      <c r="L258">
        <v>15539</v>
      </c>
      <c r="M258">
        <v>60405</v>
      </c>
      <c r="N258" t="s">
        <v>349</v>
      </c>
      <c r="O258">
        <v>8.0331897735595703</v>
      </c>
      <c r="P258">
        <v>-80.79119873046875</v>
      </c>
      <c r="Q258">
        <v>1778</v>
      </c>
    </row>
    <row r="259" spans="1:17" x14ac:dyDescent="0.25">
      <c r="A259">
        <v>248</v>
      </c>
      <c r="B259" t="str">
        <f t="shared" si="3"/>
        <v>El Tijera</v>
      </c>
      <c r="C259">
        <v>6</v>
      </c>
      <c r="D259" t="s">
        <v>321</v>
      </c>
      <c r="E259">
        <v>7.8753299713134766</v>
      </c>
      <c r="F259">
        <v>-80.706199645996094</v>
      </c>
      <c r="G259">
        <v>109955</v>
      </c>
      <c r="H259">
        <v>604</v>
      </c>
      <c r="I259" t="s">
        <v>345</v>
      </c>
      <c r="J259">
        <v>7.9245400428771973</v>
      </c>
      <c r="K259">
        <v>-80.812202453613281</v>
      </c>
      <c r="L259">
        <v>15539</v>
      </c>
      <c r="M259">
        <v>60406</v>
      </c>
      <c r="N259" t="s">
        <v>350</v>
      </c>
      <c r="O259">
        <v>7.8372898101806641</v>
      </c>
      <c r="P259">
        <v>-80.925003051757813</v>
      </c>
      <c r="Q259">
        <v>588</v>
      </c>
    </row>
    <row r="260" spans="1:17" x14ac:dyDescent="0.25">
      <c r="A260">
        <v>249</v>
      </c>
      <c r="B260" t="str">
        <f t="shared" si="3"/>
        <v>Menchaca</v>
      </c>
      <c r="C260">
        <v>6</v>
      </c>
      <c r="D260" t="s">
        <v>321</v>
      </c>
      <c r="E260">
        <v>7.8753299713134766</v>
      </c>
      <c r="F260">
        <v>-80.706199645996094</v>
      </c>
      <c r="G260">
        <v>109955</v>
      </c>
      <c r="H260">
        <v>604</v>
      </c>
      <c r="I260" t="s">
        <v>345</v>
      </c>
      <c r="J260">
        <v>7.9245400428771973</v>
      </c>
      <c r="K260">
        <v>-80.812202453613281</v>
      </c>
      <c r="L260">
        <v>15539</v>
      </c>
      <c r="M260">
        <v>60407</v>
      </c>
      <c r="N260" t="s">
        <v>351</v>
      </c>
      <c r="O260">
        <v>7.8861799240112305</v>
      </c>
      <c r="P260">
        <v>-80.766502380371094</v>
      </c>
      <c r="Q260">
        <v>1517</v>
      </c>
    </row>
    <row r="261" spans="1:17" x14ac:dyDescent="0.25">
      <c r="A261">
        <v>250</v>
      </c>
      <c r="B261" t="str">
        <f t="shared" si="3"/>
        <v>Parita (Cabecera)</v>
      </c>
      <c r="C261">
        <v>6</v>
      </c>
      <c r="D261" t="s">
        <v>321</v>
      </c>
      <c r="E261">
        <v>7.8753299713134766</v>
      </c>
      <c r="F261">
        <v>-80.706199645996094</v>
      </c>
      <c r="G261">
        <v>109955</v>
      </c>
      <c r="H261">
        <v>605</v>
      </c>
      <c r="I261" t="s">
        <v>352</v>
      </c>
      <c r="J261">
        <v>8.0344200134277344</v>
      </c>
      <c r="K261">
        <v>-80.5802001953125</v>
      </c>
      <c r="L261">
        <v>8885</v>
      </c>
      <c r="M261">
        <v>60501</v>
      </c>
      <c r="N261" t="s">
        <v>353</v>
      </c>
      <c r="O261">
        <v>8.0192098617553711</v>
      </c>
      <c r="P261">
        <v>-80.511100769042969</v>
      </c>
      <c r="Q261">
        <v>3723</v>
      </c>
    </row>
    <row r="262" spans="1:17" x14ac:dyDescent="0.25">
      <c r="A262">
        <v>251</v>
      </c>
      <c r="B262" t="str">
        <f t="shared" si="3"/>
        <v>Cabuya</v>
      </c>
      <c r="C262">
        <v>6</v>
      </c>
      <c r="D262" t="s">
        <v>321</v>
      </c>
      <c r="E262">
        <v>7.8753299713134766</v>
      </c>
      <c r="F262">
        <v>-80.706199645996094</v>
      </c>
      <c r="G262">
        <v>109955</v>
      </c>
      <c r="H262">
        <v>605</v>
      </c>
      <c r="I262" t="s">
        <v>352</v>
      </c>
      <c r="J262">
        <v>8.0344200134277344</v>
      </c>
      <c r="K262">
        <v>-80.5802001953125</v>
      </c>
      <c r="L262">
        <v>8885</v>
      </c>
      <c r="M262">
        <v>60502</v>
      </c>
      <c r="N262" t="s">
        <v>125</v>
      </c>
      <c r="O262">
        <v>8.0270900726318359</v>
      </c>
      <c r="P262">
        <v>-80.650703430175781</v>
      </c>
      <c r="Q262">
        <v>1092</v>
      </c>
    </row>
    <row r="263" spans="1:17" x14ac:dyDescent="0.25">
      <c r="A263">
        <v>252</v>
      </c>
      <c r="B263" t="str">
        <f t="shared" si="3"/>
        <v>Los Castillos</v>
      </c>
      <c r="C263">
        <v>6</v>
      </c>
      <c r="D263" t="s">
        <v>321</v>
      </c>
      <c r="E263">
        <v>7.8753299713134766</v>
      </c>
      <c r="F263">
        <v>-80.706199645996094</v>
      </c>
      <c r="G263">
        <v>109955</v>
      </c>
      <c r="H263">
        <v>605</v>
      </c>
      <c r="I263" t="s">
        <v>352</v>
      </c>
      <c r="J263">
        <v>8.0344200134277344</v>
      </c>
      <c r="K263">
        <v>-80.5802001953125</v>
      </c>
      <c r="L263">
        <v>8885</v>
      </c>
      <c r="M263">
        <v>60503</v>
      </c>
      <c r="N263" t="s">
        <v>354</v>
      </c>
      <c r="O263">
        <v>7.9848198890686035</v>
      </c>
      <c r="P263">
        <v>-80.615097045898438</v>
      </c>
      <c r="Q263">
        <v>745</v>
      </c>
    </row>
    <row r="264" spans="1:17" x14ac:dyDescent="0.25">
      <c r="A264">
        <v>253</v>
      </c>
      <c r="B264" t="str">
        <f t="shared" si="3"/>
        <v>Llano de La Cruz</v>
      </c>
      <c r="C264">
        <v>6</v>
      </c>
      <c r="D264" t="s">
        <v>321</v>
      </c>
      <c r="E264">
        <v>7.8753299713134766</v>
      </c>
      <c r="F264">
        <v>-80.706199645996094</v>
      </c>
      <c r="G264">
        <v>109955</v>
      </c>
      <c r="H264">
        <v>605</v>
      </c>
      <c r="I264" t="s">
        <v>352</v>
      </c>
      <c r="J264">
        <v>8.0344200134277344</v>
      </c>
      <c r="K264">
        <v>-80.5802001953125</v>
      </c>
      <c r="L264">
        <v>8885</v>
      </c>
      <c r="M264">
        <v>60504</v>
      </c>
      <c r="N264" t="s">
        <v>355</v>
      </c>
      <c r="O264">
        <v>7.9631099700927734</v>
      </c>
      <c r="P264">
        <v>-80.632499694824219</v>
      </c>
      <c r="Q264">
        <v>318</v>
      </c>
    </row>
    <row r="265" spans="1:17" x14ac:dyDescent="0.25">
      <c r="A265">
        <v>254</v>
      </c>
      <c r="B265" t="str">
        <f t="shared" si="3"/>
        <v>París</v>
      </c>
      <c r="C265">
        <v>6</v>
      </c>
      <c r="D265" t="s">
        <v>321</v>
      </c>
      <c r="E265">
        <v>7.8753299713134766</v>
      </c>
      <c r="F265">
        <v>-80.706199645996094</v>
      </c>
      <c r="G265">
        <v>109955</v>
      </c>
      <c r="H265">
        <v>605</v>
      </c>
      <c r="I265" t="s">
        <v>352</v>
      </c>
      <c r="J265">
        <v>8.0344200134277344</v>
      </c>
      <c r="K265">
        <v>-80.5802001953125</v>
      </c>
      <c r="L265">
        <v>8885</v>
      </c>
      <c r="M265">
        <v>60505</v>
      </c>
      <c r="N265" t="s">
        <v>356</v>
      </c>
      <c r="O265">
        <v>8.0728797912597656</v>
      </c>
      <c r="P265">
        <v>-80.554901123046875</v>
      </c>
      <c r="Q265">
        <v>1070</v>
      </c>
    </row>
    <row r="266" spans="1:17" x14ac:dyDescent="0.25">
      <c r="A266">
        <v>255</v>
      </c>
      <c r="B266" t="str">
        <f t="shared" si="3"/>
        <v>Portobelillo</v>
      </c>
      <c r="C266">
        <v>6</v>
      </c>
      <c r="D266" t="s">
        <v>321</v>
      </c>
      <c r="E266">
        <v>7.8753299713134766</v>
      </c>
      <c r="F266">
        <v>-80.706199645996094</v>
      </c>
      <c r="G266">
        <v>109955</v>
      </c>
      <c r="H266">
        <v>605</v>
      </c>
      <c r="I266" t="s">
        <v>352</v>
      </c>
      <c r="J266">
        <v>8.0344200134277344</v>
      </c>
      <c r="K266">
        <v>-80.5802001953125</v>
      </c>
      <c r="L266">
        <v>8885</v>
      </c>
      <c r="M266">
        <v>60506</v>
      </c>
      <c r="N266" t="s">
        <v>357</v>
      </c>
      <c r="O266">
        <v>8.010310173034668</v>
      </c>
      <c r="P266">
        <v>-80.584197998046875</v>
      </c>
      <c r="Q266">
        <v>892</v>
      </c>
    </row>
    <row r="267" spans="1:17" x14ac:dyDescent="0.25">
      <c r="A267">
        <v>256</v>
      </c>
      <c r="B267" t="str">
        <f t="shared" si="3"/>
        <v>Potuga</v>
      </c>
      <c r="C267">
        <v>6</v>
      </c>
      <c r="D267" t="s">
        <v>321</v>
      </c>
      <c r="E267">
        <v>7.8753299713134766</v>
      </c>
      <c r="F267">
        <v>-80.706199645996094</v>
      </c>
      <c r="G267">
        <v>109955</v>
      </c>
      <c r="H267">
        <v>605</v>
      </c>
      <c r="I267" t="s">
        <v>352</v>
      </c>
      <c r="J267">
        <v>8.0344200134277344</v>
      </c>
      <c r="K267">
        <v>-80.5802001953125</v>
      </c>
      <c r="L267">
        <v>8885</v>
      </c>
      <c r="M267">
        <v>60507</v>
      </c>
      <c r="N267" t="s">
        <v>358</v>
      </c>
      <c r="O267">
        <v>8.0693397521972656</v>
      </c>
      <c r="P267">
        <v>-80.657096862792969</v>
      </c>
      <c r="Q267">
        <v>1045</v>
      </c>
    </row>
    <row r="268" spans="1:17" x14ac:dyDescent="0.25">
      <c r="A268">
        <v>257</v>
      </c>
      <c r="B268" t="str">
        <f t="shared" ref="B268:B331" si="4">+N268</f>
        <v>Pesé (Cabecera)</v>
      </c>
      <c r="C268">
        <v>6</v>
      </c>
      <c r="D268" t="s">
        <v>321</v>
      </c>
      <c r="E268">
        <v>7.8753299713134766</v>
      </c>
      <c r="F268">
        <v>-80.706199645996094</v>
      </c>
      <c r="G268">
        <v>109955</v>
      </c>
      <c r="H268">
        <v>606</v>
      </c>
      <c r="I268" t="s">
        <v>359</v>
      </c>
      <c r="J268">
        <v>7.8945498466491699</v>
      </c>
      <c r="K268">
        <v>-80.617301940917969</v>
      </c>
      <c r="L268">
        <v>12397</v>
      </c>
      <c r="M268">
        <v>60601</v>
      </c>
      <c r="N268" t="s">
        <v>360</v>
      </c>
      <c r="O268">
        <v>7.9153499603271484</v>
      </c>
      <c r="P268">
        <v>-80.61309814453125</v>
      </c>
      <c r="Q268">
        <v>2565</v>
      </c>
    </row>
    <row r="269" spans="1:17" x14ac:dyDescent="0.25">
      <c r="A269">
        <v>258</v>
      </c>
      <c r="B269" t="str">
        <f t="shared" si="4"/>
        <v>Las Cabras</v>
      </c>
      <c r="C269">
        <v>6</v>
      </c>
      <c r="D269" t="s">
        <v>321</v>
      </c>
      <c r="E269">
        <v>7.8753299713134766</v>
      </c>
      <c r="F269">
        <v>-80.706199645996094</v>
      </c>
      <c r="G269">
        <v>109955</v>
      </c>
      <c r="H269">
        <v>606</v>
      </c>
      <c r="I269" t="s">
        <v>359</v>
      </c>
      <c r="J269">
        <v>7.8945498466491699</v>
      </c>
      <c r="K269">
        <v>-80.617301940917969</v>
      </c>
      <c r="L269">
        <v>12397</v>
      </c>
      <c r="M269">
        <v>60602</v>
      </c>
      <c r="N269" t="s">
        <v>361</v>
      </c>
      <c r="O269">
        <v>7.8813700675964355</v>
      </c>
      <c r="P269">
        <v>-80.567398071289063</v>
      </c>
      <c r="Q269">
        <v>1914</v>
      </c>
    </row>
    <row r="270" spans="1:17" x14ac:dyDescent="0.25">
      <c r="A270">
        <v>259</v>
      </c>
      <c r="B270" t="str">
        <f t="shared" si="4"/>
        <v>El Pájaro</v>
      </c>
      <c r="C270">
        <v>6</v>
      </c>
      <c r="D270" t="s">
        <v>321</v>
      </c>
      <c r="E270">
        <v>7.8753299713134766</v>
      </c>
      <c r="F270">
        <v>-80.706199645996094</v>
      </c>
      <c r="G270">
        <v>109955</v>
      </c>
      <c r="H270">
        <v>606</v>
      </c>
      <c r="I270" t="s">
        <v>359</v>
      </c>
      <c r="J270">
        <v>7.8945498466491699</v>
      </c>
      <c r="K270">
        <v>-80.617301940917969</v>
      </c>
      <c r="L270">
        <v>12397</v>
      </c>
      <c r="M270">
        <v>60603</v>
      </c>
      <c r="N270" t="s">
        <v>362</v>
      </c>
      <c r="O270">
        <v>7.9516801834106445</v>
      </c>
      <c r="P270">
        <v>-80.582000732421875</v>
      </c>
      <c r="Q270">
        <v>861</v>
      </c>
    </row>
    <row r="271" spans="1:17" x14ac:dyDescent="0.25">
      <c r="A271">
        <v>260</v>
      </c>
      <c r="B271" t="str">
        <f t="shared" si="4"/>
        <v>El Barrero</v>
      </c>
      <c r="C271">
        <v>6</v>
      </c>
      <c r="D271" t="s">
        <v>321</v>
      </c>
      <c r="E271">
        <v>7.8753299713134766</v>
      </c>
      <c r="F271">
        <v>-80.706199645996094</v>
      </c>
      <c r="G271">
        <v>109955</v>
      </c>
      <c r="H271">
        <v>606</v>
      </c>
      <c r="I271" t="s">
        <v>359</v>
      </c>
      <c r="J271">
        <v>7.8945498466491699</v>
      </c>
      <c r="K271">
        <v>-80.617301940917969</v>
      </c>
      <c r="L271">
        <v>12397</v>
      </c>
      <c r="M271">
        <v>60604</v>
      </c>
      <c r="N271" t="s">
        <v>363</v>
      </c>
      <c r="O271">
        <v>7.9321198463439941</v>
      </c>
      <c r="P271">
        <v>-80.546096801757813</v>
      </c>
      <c r="Q271">
        <v>1841</v>
      </c>
    </row>
    <row r="272" spans="1:17" x14ac:dyDescent="0.25">
      <c r="A272">
        <v>261</v>
      </c>
      <c r="B272" t="str">
        <f t="shared" si="4"/>
        <v>El Pedregoso</v>
      </c>
      <c r="C272">
        <v>6</v>
      </c>
      <c r="D272" t="s">
        <v>321</v>
      </c>
      <c r="E272">
        <v>7.8753299713134766</v>
      </c>
      <c r="F272">
        <v>-80.706199645996094</v>
      </c>
      <c r="G272">
        <v>109955</v>
      </c>
      <c r="H272">
        <v>606</v>
      </c>
      <c r="I272" t="s">
        <v>359</v>
      </c>
      <c r="J272">
        <v>7.8945498466491699</v>
      </c>
      <c r="K272">
        <v>-80.617301940917969</v>
      </c>
      <c r="L272">
        <v>12397</v>
      </c>
      <c r="M272">
        <v>60605</v>
      </c>
      <c r="N272" t="s">
        <v>364</v>
      </c>
      <c r="O272">
        <v>7.9299402236938477</v>
      </c>
      <c r="P272">
        <v>-80.639396667480469</v>
      </c>
      <c r="Q272">
        <v>1386</v>
      </c>
    </row>
    <row r="273" spans="1:17" x14ac:dyDescent="0.25">
      <c r="A273">
        <v>262</v>
      </c>
      <c r="B273" t="str">
        <f t="shared" si="4"/>
        <v>El Ciruelo</v>
      </c>
      <c r="C273">
        <v>6</v>
      </c>
      <c r="D273" t="s">
        <v>321</v>
      </c>
      <c r="E273">
        <v>7.8753299713134766</v>
      </c>
      <c r="F273">
        <v>-80.706199645996094</v>
      </c>
      <c r="G273">
        <v>109955</v>
      </c>
      <c r="H273">
        <v>606</v>
      </c>
      <c r="I273" t="s">
        <v>359</v>
      </c>
      <c r="J273">
        <v>7.8945498466491699</v>
      </c>
      <c r="K273">
        <v>-80.617301940917969</v>
      </c>
      <c r="L273">
        <v>12397</v>
      </c>
      <c r="M273">
        <v>60606</v>
      </c>
      <c r="N273" t="s">
        <v>365</v>
      </c>
      <c r="O273">
        <v>7.8960299491882324</v>
      </c>
      <c r="P273">
        <v>-80.694503784179688</v>
      </c>
      <c r="Q273">
        <v>823</v>
      </c>
    </row>
    <row r="274" spans="1:17" x14ac:dyDescent="0.25">
      <c r="A274">
        <v>263</v>
      </c>
      <c r="B274" t="str">
        <f t="shared" si="4"/>
        <v>Sabana Grande</v>
      </c>
      <c r="C274">
        <v>6</v>
      </c>
      <c r="D274" t="s">
        <v>321</v>
      </c>
      <c r="E274">
        <v>7.8753299713134766</v>
      </c>
      <c r="F274">
        <v>-80.706199645996094</v>
      </c>
      <c r="G274">
        <v>109955</v>
      </c>
      <c r="H274">
        <v>606</v>
      </c>
      <c r="I274" t="s">
        <v>359</v>
      </c>
      <c r="J274">
        <v>7.8945498466491699</v>
      </c>
      <c r="K274">
        <v>-80.617301940917969</v>
      </c>
      <c r="L274">
        <v>12397</v>
      </c>
      <c r="M274">
        <v>60607</v>
      </c>
      <c r="N274" t="s">
        <v>366</v>
      </c>
      <c r="O274">
        <v>7.8671698570251465</v>
      </c>
      <c r="P274">
        <v>-80.656402587890625</v>
      </c>
      <c r="Q274">
        <v>1591</v>
      </c>
    </row>
    <row r="275" spans="1:17" x14ac:dyDescent="0.25">
      <c r="A275">
        <v>264</v>
      </c>
      <c r="B275" t="str">
        <f t="shared" si="4"/>
        <v>Rincón Hondo</v>
      </c>
      <c r="C275">
        <v>6</v>
      </c>
      <c r="D275" t="s">
        <v>321</v>
      </c>
      <c r="E275">
        <v>7.8753299713134766</v>
      </c>
      <c r="F275">
        <v>-80.706199645996094</v>
      </c>
      <c r="G275">
        <v>109955</v>
      </c>
      <c r="H275">
        <v>606</v>
      </c>
      <c r="I275" t="s">
        <v>359</v>
      </c>
      <c r="J275">
        <v>7.8945498466491699</v>
      </c>
      <c r="K275">
        <v>-80.617301940917969</v>
      </c>
      <c r="L275">
        <v>12397</v>
      </c>
      <c r="M275">
        <v>60608</v>
      </c>
      <c r="N275" t="s">
        <v>367</v>
      </c>
      <c r="O275">
        <v>7.8388800621032715</v>
      </c>
      <c r="P275">
        <v>-80.613502502441406</v>
      </c>
      <c r="Q275">
        <v>1416</v>
      </c>
    </row>
    <row r="276" spans="1:17" x14ac:dyDescent="0.25">
      <c r="A276">
        <v>265</v>
      </c>
      <c r="B276" t="str">
        <f t="shared" si="4"/>
        <v>Santa María (Cabecera)</v>
      </c>
      <c r="C276">
        <v>6</v>
      </c>
      <c r="D276" t="s">
        <v>321</v>
      </c>
      <c r="E276">
        <v>7.8753299713134766</v>
      </c>
      <c r="F276">
        <v>-80.706199645996094</v>
      </c>
      <c r="G276">
        <v>109955</v>
      </c>
      <c r="H276">
        <v>607</v>
      </c>
      <c r="I276" t="s">
        <v>368</v>
      </c>
      <c r="J276">
        <v>8.1006298065185547</v>
      </c>
      <c r="K276">
        <v>-80.694000244140625</v>
      </c>
      <c r="L276">
        <v>7421</v>
      </c>
      <c r="M276">
        <v>60701</v>
      </c>
      <c r="N276" t="s">
        <v>369</v>
      </c>
      <c r="O276">
        <v>8.1085395812988281</v>
      </c>
      <c r="P276">
        <v>-80.660400390625</v>
      </c>
      <c r="Q276">
        <v>1682</v>
      </c>
    </row>
    <row r="277" spans="1:17" x14ac:dyDescent="0.25">
      <c r="A277">
        <v>266</v>
      </c>
      <c r="B277" t="str">
        <f t="shared" si="4"/>
        <v>Chupampa</v>
      </c>
      <c r="C277">
        <v>6</v>
      </c>
      <c r="D277" t="s">
        <v>321</v>
      </c>
      <c r="E277">
        <v>7.8753299713134766</v>
      </c>
      <c r="F277">
        <v>-80.706199645996094</v>
      </c>
      <c r="G277">
        <v>109955</v>
      </c>
      <c r="H277">
        <v>607</v>
      </c>
      <c r="I277" t="s">
        <v>368</v>
      </c>
      <c r="J277">
        <v>8.1006298065185547</v>
      </c>
      <c r="K277">
        <v>-80.694000244140625</v>
      </c>
      <c r="L277">
        <v>7421</v>
      </c>
      <c r="M277">
        <v>60702</v>
      </c>
      <c r="N277" t="s">
        <v>370</v>
      </c>
      <c r="O277">
        <v>8.0819196701049805</v>
      </c>
      <c r="P277">
        <v>-80.780403137207031</v>
      </c>
      <c r="Q277">
        <v>1231</v>
      </c>
    </row>
    <row r="278" spans="1:17" x14ac:dyDescent="0.25">
      <c r="A278">
        <v>267</v>
      </c>
      <c r="B278" t="str">
        <f t="shared" si="4"/>
        <v>El Rincón</v>
      </c>
      <c r="C278">
        <v>6</v>
      </c>
      <c r="D278" t="s">
        <v>321</v>
      </c>
      <c r="E278">
        <v>7.8753299713134766</v>
      </c>
      <c r="F278">
        <v>-80.706199645996094</v>
      </c>
      <c r="G278">
        <v>109955</v>
      </c>
      <c r="H278">
        <v>607</v>
      </c>
      <c r="I278" t="s">
        <v>368</v>
      </c>
      <c r="J278">
        <v>8.1006298065185547</v>
      </c>
      <c r="K278">
        <v>-80.694000244140625</v>
      </c>
      <c r="L278">
        <v>7421</v>
      </c>
      <c r="M278">
        <v>60703</v>
      </c>
      <c r="N278" t="s">
        <v>371</v>
      </c>
      <c r="O278">
        <v>8.1161298751831055</v>
      </c>
      <c r="P278">
        <v>-80.599197387695313</v>
      </c>
      <c r="Q278">
        <v>1712</v>
      </c>
    </row>
    <row r="279" spans="1:17" x14ac:dyDescent="0.25">
      <c r="A279">
        <v>268</v>
      </c>
      <c r="B279" t="str">
        <f t="shared" si="4"/>
        <v>El Limón</v>
      </c>
      <c r="C279">
        <v>6</v>
      </c>
      <c r="D279" t="s">
        <v>321</v>
      </c>
      <c r="E279">
        <v>7.8753299713134766</v>
      </c>
      <c r="F279">
        <v>-80.706199645996094</v>
      </c>
      <c r="G279">
        <v>109955</v>
      </c>
      <c r="H279">
        <v>607</v>
      </c>
      <c r="I279" t="s">
        <v>368</v>
      </c>
      <c r="J279">
        <v>8.1006298065185547</v>
      </c>
      <c r="K279">
        <v>-80.694000244140625</v>
      </c>
      <c r="L279">
        <v>7421</v>
      </c>
      <c r="M279">
        <v>60704</v>
      </c>
      <c r="N279" t="s">
        <v>372</v>
      </c>
      <c r="O279">
        <v>8.0631704330444336</v>
      </c>
      <c r="P279">
        <v>-80.74859619140625</v>
      </c>
      <c r="Q279">
        <v>1221</v>
      </c>
    </row>
    <row r="280" spans="1:17" x14ac:dyDescent="0.25">
      <c r="A280">
        <v>269</v>
      </c>
      <c r="B280" t="str">
        <f t="shared" si="4"/>
        <v>Los Canelos</v>
      </c>
      <c r="C280">
        <v>6</v>
      </c>
      <c r="D280" t="s">
        <v>321</v>
      </c>
      <c r="E280">
        <v>7.8753299713134766</v>
      </c>
      <c r="F280">
        <v>-80.706199645996094</v>
      </c>
      <c r="G280">
        <v>109955</v>
      </c>
      <c r="H280">
        <v>607</v>
      </c>
      <c r="I280" t="s">
        <v>368</v>
      </c>
      <c r="J280">
        <v>8.1006298065185547</v>
      </c>
      <c r="K280">
        <v>-80.694000244140625</v>
      </c>
      <c r="L280">
        <v>7421</v>
      </c>
      <c r="M280">
        <v>60705</v>
      </c>
      <c r="N280" t="s">
        <v>373</v>
      </c>
      <c r="O280">
        <v>8.1112899780273438</v>
      </c>
      <c r="P280">
        <v>-80.722297668457031</v>
      </c>
      <c r="Q280">
        <v>1575</v>
      </c>
    </row>
    <row r="281" spans="1:17" x14ac:dyDescent="0.25">
      <c r="A281">
        <v>270</v>
      </c>
      <c r="B281" t="str">
        <f t="shared" si="4"/>
        <v>Guararé (Cabecera)</v>
      </c>
      <c r="C281">
        <v>7</v>
      </c>
      <c r="D281" t="s">
        <v>374</v>
      </c>
      <c r="E281">
        <v>7.5865201950073242</v>
      </c>
      <c r="F281">
        <v>-80.392501831054688</v>
      </c>
      <c r="G281">
        <v>89592</v>
      </c>
      <c r="H281">
        <v>701</v>
      </c>
      <c r="I281" t="s">
        <v>375</v>
      </c>
      <c r="J281">
        <v>7.7796502113342285</v>
      </c>
      <c r="K281">
        <v>-80.353302001953125</v>
      </c>
      <c r="L281">
        <v>10381</v>
      </c>
      <c r="M281">
        <v>70101</v>
      </c>
      <c r="N281" t="s">
        <v>376</v>
      </c>
      <c r="O281">
        <v>7.8160600662231445</v>
      </c>
      <c r="P281">
        <v>-80.280197143554688</v>
      </c>
      <c r="Q281">
        <v>4524</v>
      </c>
    </row>
    <row r="282" spans="1:17" x14ac:dyDescent="0.25">
      <c r="A282">
        <v>271</v>
      </c>
      <c r="B282" t="str">
        <f t="shared" si="4"/>
        <v>El Espinal</v>
      </c>
      <c r="C282">
        <v>7</v>
      </c>
      <c r="D282" t="s">
        <v>374</v>
      </c>
      <c r="E282">
        <v>7.5865201950073242</v>
      </c>
      <c r="F282">
        <v>-80.392501831054688</v>
      </c>
      <c r="G282">
        <v>89592</v>
      </c>
      <c r="H282">
        <v>701</v>
      </c>
      <c r="I282" t="s">
        <v>375</v>
      </c>
      <c r="J282">
        <v>7.7796502113342285</v>
      </c>
      <c r="K282">
        <v>-80.353302001953125</v>
      </c>
      <c r="L282">
        <v>10381</v>
      </c>
      <c r="M282">
        <v>70102</v>
      </c>
      <c r="N282" t="s">
        <v>377</v>
      </c>
      <c r="O282">
        <v>7.8507599830627441</v>
      </c>
      <c r="P282">
        <v>-80.317703247070313</v>
      </c>
      <c r="Q282">
        <v>1243</v>
      </c>
    </row>
    <row r="283" spans="1:17" x14ac:dyDescent="0.25">
      <c r="A283">
        <v>272</v>
      </c>
      <c r="B283" t="str">
        <f t="shared" si="4"/>
        <v>El Macano</v>
      </c>
      <c r="C283">
        <v>7</v>
      </c>
      <c r="D283" t="s">
        <v>374</v>
      </c>
      <c r="E283">
        <v>7.5865201950073242</v>
      </c>
      <c r="F283">
        <v>-80.392501831054688</v>
      </c>
      <c r="G283">
        <v>89592</v>
      </c>
      <c r="H283">
        <v>701</v>
      </c>
      <c r="I283" t="s">
        <v>375</v>
      </c>
      <c r="J283">
        <v>7.7796502113342285</v>
      </c>
      <c r="K283">
        <v>-80.353302001953125</v>
      </c>
      <c r="L283">
        <v>10381</v>
      </c>
      <c r="M283">
        <v>70103</v>
      </c>
      <c r="N283" t="s">
        <v>378</v>
      </c>
      <c r="O283">
        <v>7.6821498870849609</v>
      </c>
      <c r="P283">
        <v>-80.4093017578125</v>
      </c>
      <c r="Q283">
        <v>281</v>
      </c>
    </row>
    <row r="284" spans="1:17" x14ac:dyDescent="0.25">
      <c r="A284">
        <v>273</v>
      </c>
      <c r="B284" t="str">
        <f t="shared" si="4"/>
        <v>Guararé Arriba</v>
      </c>
      <c r="C284">
        <v>7</v>
      </c>
      <c r="D284" t="s">
        <v>374</v>
      </c>
      <c r="E284">
        <v>7.5865201950073242</v>
      </c>
      <c r="F284">
        <v>-80.392501831054688</v>
      </c>
      <c r="G284">
        <v>89592</v>
      </c>
      <c r="H284">
        <v>701</v>
      </c>
      <c r="I284" t="s">
        <v>375</v>
      </c>
      <c r="J284">
        <v>7.7796502113342285</v>
      </c>
      <c r="K284">
        <v>-80.353302001953125</v>
      </c>
      <c r="L284">
        <v>10381</v>
      </c>
      <c r="M284">
        <v>70104</v>
      </c>
      <c r="N284" t="s">
        <v>379</v>
      </c>
      <c r="O284">
        <v>7.7998900413513184</v>
      </c>
      <c r="P284">
        <v>-80.353996276855469</v>
      </c>
      <c r="Q284">
        <v>394</v>
      </c>
    </row>
    <row r="285" spans="1:17" x14ac:dyDescent="0.25">
      <c r="A285">
        <v>274</v>
      </c>
      <c r="B285" t="str">
        <f t="shared" si="4"/>
        <v>La Enea</v>
      </c>
      <c r="C285">
        <v>7</v>
      </c>
      <c r="D285" t="s">
        <v>374</v>
      </c>
      <c r="E285">
        <v>7.5865201950073242</v>
      </c>
      <c r="F285">
        <v>-80.392501831054688</v>
      </c>
      <c r="G285">
        <v>89592</v>
      </c>
      <c r="H285">
        <v>701</v>
      </c>
      <c r="I285" t="s">
        <v>375</v>
      </c>
      <c r="J285">
        <v>7.7796502113342285</v>
      </c>
      <c r="K285">
        <v>-80.353302001953125</v>
      </c>
      <c r="L285">
        <v>10381</v>
      </c>
      <c r="M285">
        <v>70105</v>
      </c>
      <c r="N285" t="s">
        <v>380</v>
      </c>
      <c r="O285">
        <v>7.8415398597717285</v>
      </c>
      <c r="P285">
        <v>-80.270698547363281</v>
      </c>
      <c r="Q285">
        <v>1186</v>
      </c>
    </row>
    <row r="286" spans="1:17" x14ac:dyDescent="0.25">
      <c r="A286">
        <v>275</v>
      </c>
      <c r="B286" t="str">
        <f t="shared" si="4"/>
        <v>La Pasera</v>
      </c>
      <c r="C286">
        <v>7</v>
      </c>
      <c r="D286" t="s">
        <v>374</v>
      </c>
      <c r="E286">
        <v>7.5865201950073242</v>
      </c>
      <c r="F286">
        <v>-80.392501831054688</v>
      </c>
      <c r="G286">
        <v>89592</v>
      </c>
      <c r="H286">
        <v>701</v>
      </c>
      <c r="I286" t="s">
        <v>375</v>
      </c>
      <c r="J286">
        <v>7.7796502113342285</v>
      </c>
      <c r="K286">
        <v>-80.353302001953125</v>
      </c>
      <c r="L286">
        <v>10381</v>
      </c>
      <c r="M286">
        <v>70106</v>
      </c>
      <c r="N286" t="s">
        <v>381</v>
      </c>
      <c r="O286">
        <v>7.8063797950744629</v>
      </c>
      <c r="P286">
        <v>-80.311500549316406</v>
      </c>
      <c r="Q286">
        <v>897</v>
      </c>
    </row>
    <row r="287" spans="1:17" x14ac:dyDescent="0.25">
      <c r="A287">
        <v>276</v>
      </c>
      <c r="B287" t="str">
        <f t="shared" si="4"/>
        <v>Las Trancas</v>
      </c>
      <c r="C287">
        <v>7</v>
      </c>
      <c r="D287" t="s">
        <v>374</v>
      </c>
      <c r="E287">
        <v>7.5865201950073242</v>
      </c>
      <c r="F287">
        <v>-80.392501831054688</v>
      </c>
      <c r="G287">
        <v>89592</v>
      </c>
      <c r="H287">
        <v>701</v>
      </c>
      <c r="I287" t="s">
        <v>375</v>
      </c>
      <c r="J287">
        <v>7.7796502113342285</v>
      </c>
      <c r="K287">
        <v>-80.353302001953125</v>
      </c>
      <c r="L287">
        <v>10381</v>
      </c>
      <c r="M287">
        <v>70107</v>
      </c>
      <c r="N287" t="s">
        <v>382</v>
      </c>
      <c r="O287">
        <v>7.7336301803588867</v>
      </c>
      <c r="P287">
        <v>-80.385696411132813</v>
      </c>
      <c r="Q287">
        <v>511</v>
      </c>
    </row>
    <row r="288" spans="1:17" x14ac:dyDescent="0.25">
      <c r="A288">
        <v>277</v>
      </c>
      <c r="B288" t="str">
        <f t="shared" si="4"/>
        <v>Llano Abajo</v>
      </c>
      <c r="C288">
        <v>7</v>
      </c>
      <c r="D288" t="s">
        <v>374</v>
      </c>
      <c r="E288">
        <v>7.5865201950073242</v>
      </c>
      <c r="F288">
        <v>-80.392501831054688</v>
      </c>
      <c r="G288">
        <v>89592</v>
      </c>
      <c r="H288">
        <v>701</v>
      </c>
      <c r="I288" t="s">
        <v>375</v>
      </c>
      <c r="J288">
        <v>7.7796502113342285</v>
      </c>
      <c r="K288">
        <v>-80.353302001953125</v>
      </c>
      <c r="L288">
        <v>10381</v>
      </c>
      <c r="M288">
        <v>70108</v>
      </c>
      <c r="N288" t="s">
        <v>383</v>
      </c>
      <c r="O288">
        <v>7.7667198181152344</v>
      </c>
      <c r="P288">
        <v>-80.41619873046875</v>
      </c>
      <c r="Q288">
        <v>550</v>
      </c>
    </row>
    <row r="289" spans="1:17" x14ac:dyDescent="0.25">
      <c r="A289">
        <v>278</v>
      </c>
      <c r="B289" t="str">
        <f t="shared" si="4"/>
        <v>El Hato</v>
      </c>
      <c r="C289">
        <v>7</v>
      </c>
      <c r="D289" t="s">
        <v>374</v>
      </c>
      <c r="E289">
        <v>7.5865201950073242</v>
      </c>
      <c r="F289">
        <v>-80.392501831054688</v>
      </c>
      <c r="G289">
        <v>89592</v>
      </c>
      <c r="H289">
        <v>701</v>
      </c>
      <c r="I289" t="s">
        <v>375</v>
      </c>
      <c r="J289">
        <v>7.7796502113342285</v>
      </c>
      <c r="K289">
        <v>-80.353302001953125</v>
      </c>
      <c r="L289">
        <v>10381</v>
      </c>
      <c r="M289">
        <v>70109</v>
      </c>
      <c r="N289" t="s">
        <v>384</v>
      </c>
      <c r="O289">
        <v>7.7778301239013672</v>
      </c>
      <c r="P289">
        <v>-80.381202697753906</v>
      </c>
      <c r="Q289">
        <v>374</v>
      </c>
    </row>
    <row r="290" spans="1:17" x14ac:dyDescent="0.25">
      <c r="A290">
        <v>279</v>
      </c>
      <c r="B290" t="str">
        <f t="shared" si="4"/>
        <v>Perales</v>
      </c>
      <c r="C290">
        <v>7</v>
      </c>
      <c r="D290" t="s">
        <v>374</v>
      </c>
      <c r="E290">
        <v>7.5865201950073242</v>
      </c>
      <c r="F290">
        <v>-80.392501831054688</v>
      </c>
      <c r="G290">
        <v>89592</v>
      </c>
      <c r="H290">
        <v>701</v>
      </c>
      <c r="I290" t="s">
        <v>375</v>
      </c>
      <c r="J290">
        <v>7.7796502113342285</v>
      </c>
      <c r="K290">
        <v>-80.353302001953125</v>
      </c>
      <c r="L290">
        <v>10381</v>
      </c>
      <c r="M290">
        <v>70110</v>
      </c>
      <c r="N290" t="s">
        <v>385</v>
      </c>
      <c r="O290">
        <v>7.7751398086547852</v>
      </c>
      <c r="P290">
        <v>-80.336097717285156</v>
      </c>
      <c r="Q290">
        <v>421</v>
      </c>
    </row>
    <row r="291" spans="1:17" x14ac:dyDescent="0.25">
      <c r="A291">
        <v>280</v>
      </c>
      <c r="B291" t="str">
        <f t="shared" si="4"/>
        <v>Las Tablas (Cabecera)</v>
      </c>
      <c r="C291">
        <v>7</v>
      </c>
      <c r="D291" t="s">
        <v>374</v>
      </c>
      <c r="E291">
        <v>7.5865201950073242</v>
      </c>
      <c r="F291">
        <v>-80.392501831054688</v>
      </c>
      <c r="G291">
        <v>89592</v>
      </c>
      <c r="H291">
        <v>702</v>
      </c>
      <c r="I291" t="s">
        <v>105</v>
      </c>
      <c r="J291">
        <v>7.6422300338745117</v>
      </c>
      <c r="K291">
        <v>-80.307899475097656</v>
      </c>
      <c r="L291">
        <v>27146</v>
      </c>
      <c r="M291">
        <v>70201</v>
      </c>
      <c r="N291" t="s">
        <v>386</v>
      </c>
      <c r="O291">
        <v>7.7738199234008789</v>
      </c>
      <c r="P291">
        <v>-80.277099609375</v>
      </c>
      <c r="Q291">
        <v>8945</v>
      </c>
    </row>
    <row r="292" spans="1:17" x14ac:dyDescent="0.25">
      <c r="A292">
        <v>281</v>
      </c>
      <c r="B292" t="str">
        <f t="shared" si="4"/>
        <v>Bajo Corral</v>
      </c>
      <c r="C292">
        <v>7</v>
      </c>
      <c r="D292" t="s">
        <v>374</v>
      </c>
      <c r="E292">
        <v>7.5865201950073242</v>
      </c>
      <c r="F292">
        <v>-80.392501831054688</v>
      </c>
      <c r="G292">
        <v>89592</v>
      </c>
      <c r="H292">
        <v>702</v>
      </c>
      <c r="I292" t="s">
        <v>105</v>
      </c>
      <c r="J292">
        <v>7.6422300338745117</v>
      </c>
      <c r="K292">
        <v>-80.307899475097656</v>
      </c>
      <c r="L292">
        <v>27146</v>
      </c>
      <c r="M292">
        <v>70202</v>
      </c>
      <c r="N292" t="s">
        <v>387</v>
      </c>
      <c r="O292">
        <v>7.5852699279785156</v>
      </c>
      <c r="P292">
        <v>-80.260902404785156</v>
      </c>
      <c r="Q292">
        <v>483</v>
      </c>
    </row>
    <row r="293" spans="1:17" x14ac:dyDescent="0.25">
      <c r="A293">
        <v>282</v>
      </c>
      <c r="B293" t="str">
        <f t="shared" si="4"/>
        <v>Bayano</v>
      </c>
      <c r="C293">
        <v>7</v>
      </c>
      <c r="D293" t="s">
        <v>374</v>
      </c>
      <c r="E293">
        <v>7.5865201950073242</v>
      </c>
      <c r="F293">
        <v>-80.392501831054688</v>
      </c>
      <c r="G293">
        <v>89592</v>
      </c>
      <c r="H293">
        <v>702</v>
      </c>
      <c r="I293" t="s">
        <v>105</v>
      </c>
      <c r="J293">
        <v>7.6422300338745117</v>
      </c>
      <c r="K293">
        <v>-80.307899475097656</v>
      </c>
      <c r="L293">
        <v>27146</v>
      </c>
      <c r="M293">
        <v>70203</v>
      </c>
      <c r="N293" t="s">
        <v>388</v>
      </c>
      <c r="O293">
        <v>7.5966701507568359</v>
      </c>
      <c r="P293">
        <v>-80.423202514648438</v>
      </c>
      <c r="Q293">
        <v>660</v>
      </c>
    </row>
    <row r="294" spans="1:17" x14ac:dyDescent="0.25">
      <c r="A294">
        <v>283</v>
      </c>
      <c r="B294" t="str">
        <f t="shared" si="4"/>
        <v>El Carate</v>
      </c>
      <c r="C294">
        <v>7</v>
      </c>
      <c r="D294" t="s">
        <v>374</v>
      </c>
      <c r="E294">
        <v>7.5865201950073242</v>
      </c>
      <c r="F294">
        <v>-80.392501831054688</v>
      </c>
      <c r="G294">
        <v>89592</v>
      </c>
      <c r="H294">
        <v>702</v>
      </c>
      <c r="I294" t="s">
        <v>105</v>
      </c>
      <c r="J294">
        <v>7.6422300338745117</v>
      </c>
      <c r="K294">
        <v>-80.307899475097656</v>
      </c>
      <c r="L294">
        <v>27146</v>
      </c>
      <c r="M294">
        <v>70204</v>
      </c>
      <c r="N294" t="s">
        <v>389</v>
      </c>
      <c r="O294">
        <v>7.7300200462341309</v>
      </c>
      <c r="P294">
        <v>-80.308197021484375</v>
      </c>
      <c r="Q294">
        <v>873</v>
      </c>
    </row>
    <row r="295" spans="1:17" x14ac:dyDescent="0.25">
      <c r="A295">
        <v>284</v>
      </c>
      <c r="B295" t="str">
        <f t="shared" si="4"/>
        <v>El Cocal</v>
      </c>
      <c r="C295">
        <v>7</v>
      </c>
      <c r="D295" t="s">
        <v>374</v>
      </c>
      <c r="E295">
        <v>7.5865201950073242</v>
      </c>
      <c r="F295">
        <v>-80.392501831054688</v>
      </c>
      <c r="G295">
        <v>89592</v>
      </c>
      <c r="H295">
        <v>702</v>
      </c>
      <c r="I295" t="s">
        <v>105</v>
      </c>
      <c r="J295">
        <v>7.6422300338745117</v>
      </c>
      <c r="K295">
        <v>-80.307899475097656</v>
      </c>
      <c r="L295">
        <v>27146</v>
      </c>
      <c r="M295">
        <v>70205</v>
      </c>
      <c r="N295" t="s">
        <v>390</v>
      </c>
      <c r="O295">
        <v>7.7404398918151855</v>
      </c>
      <c r="P295">
        <v>-80.277900695800781</v>
      </c>
      <c r="Q295">
        <v>1889</v>
      </c>
    </row>
    <row r="296" spans="1:17" x14ac:dyDescent="0.25">
      <c r="A296">
        <v>285</v>
      </c>
      <c r="B296" t="str">
        <f t="shared" si="4"/>
        <v>El Manantial</v>
      </c>
      <c r="C296">
        <v>7</v>
      </c>
      <c r="D296" t="s">
        <v>374</v>
      </c>
      <c r="E296">
        <v>7.5865201950073242</v>
      </c>
      <c r="F296">
        <v>-80.392501831054688</v>
      </c>
      <c r="G296">
        <v>89592</v>
      </c>
      <c r="H296">
        <v>702</v>
      </c>
      <c r="I296" t="s">
        <v>105</v>
      </c>
      <c r="J296">
        <v>7.6422300338745117</v>
      </c>
      <c r="K296">
        <v>-80.307899475097656</v>
      </c>
      <c r="L296">
        <v>27146</v>
      </c>
      <c r="M296">
        <v>70206</v>
      </c>
      <c r="N296" t="s">
        <v>391</v>
      </c>
      <c r="O296">
        <v>7.788179874420166</v>
      </c>
      <c r="P296">
        <v>-80.224403381347656</v>
      </c>
      <c r="Q296">
        <v>909</v>
      </c>
    </row>
    <row r="297" spans="1:17" x14ac:dyDescent="0.25">
      <c r="A297">
        <v>286</v>
      </c>
      <c r="B297" t="str">
        <f t="shared" si="4"/>
        <v>El Muñóz</v>
      </c>
      <c r="C297">
        <v>7</v>
      </c>
      <c r="D297" t="s">
        <v>374</v>
      </c>
      <c r="E297">
        <v>7.5865201950073242</v>
      </c>
      <c r="F297">
        <v>-80.392501831054688</v>
      </c>
      <c r="G297">
        <v>89592</v>
      </c>
      <c r="H297">
        <v>702</v>
      </c>
      <c r="I297" t="s">
        <v>105</v>
      </c>
      <c r="J297">
        <v>7.6422300338745117</v>
      </c>
      <c r="K297">
        <v>-80.307899475097656</v>
      </c>
      <c r="L297">
        <v>27146</v>
      </c>
      <c r="M297">
        <v>70207</v>
      </c>
      <c r="N297" t="s">
        <v>392</v>
      </c>
      <c r="O297">
        <v>7.6714801788330078</v>
      </c>
      <c r="P297">
        <v>-80.320701599121094</v>
      </c>
      <c r="Q297">
        <v>376</v>
      </c>
    </row>
    <row r="298" spans="1:17" x14ac:dyDescent="0.25">
      <c r="A298">
        <v>287</v>
      </c>
      <c r="B298" t="str">
        <f t="shared" si="4"/>
        <v>El Pedregoso</v>
      </c>
      <c r="C298">
        <v>7</v>
      </c>
      <c r="D298" t="s">
        <v>374</v>
      </c>
      <c r="E298">
        <v>7.5865201950073242</v>
      </c>
      <c r="F298">
        <v>-80.392501831054688</v>
      </c>
      <c r="G298">
        <v>89592</v>
      </c>
      <c r="H298">
        <v>702</v>
      </c>
      <c r="I298" t="s">
        <v>105</v>
      </c>
      <c r="J298">
        <v>7.6422300338745117</v>
      </c>
      <c r="K298">
        <v>-80.307899475097656</v>
      </c>
      <c r="L298">
        <v>27146</v>
      </c>
      <c r="M298">
        <v>70208</v>
      </c>
      <c r="N298" t="s">
        <v>364</v>
      </c>
      <c r="O298">
        <v>7.7058000564575195</v>
      </c>
      <c r="P298">
        <v>-80.323799133300781</v>
      </c>
      <c r="Q298">
        <v>279</v>
      </c>
    </row>
    <row r="299" spans="1:17" x14ac:dyDescent="0.25">
      <c r="A299">
        <v>288</v>
      </c>
      <c r="B299" t="str">
        <f t="shared" si="4"/>
        <v>La Laja</v>
      </c>
      <c r="C299">
        <v>7</v>
      </c>
      <c r="D299" t="s">
        <v>374</v>
      </c>
      <c r="E299">
        <v>7.5865201950073242</v>
      </c>
      <c r="F299">
        <v>-80.392501831054688</v>
      </c>
      <c r="G299">
        <v>89592</v>
      </c>
      <c r="H299">
        <v>702</v>
      </c>
      <c r="I299" t="s">
        <v>105</v>
      </c>
      <c r="J299">
        <v>7.6422300338745117</v>
      </c>
      <c r="K299">
        <v>-80.307899475097656</v>
      </c>
      <c r="L299">
        <v>27146</v>
      </c>
      <c r="M299">
        <v>70209</v>
      </c>
      <c r="N299" t="s">
        <v>393</v>
      </c>
      <c r="O299">
        <v>7.7317900657653809</v>
      </c>
      <c r="P299">
        <v>-80.256500244140625</v>
      </c>
      <c r="Q299">
        <v>547</v>
      </c>
    </row>
    <row r="300" spans="1:17" x14ac:dyDescent="0.25">
      <c r="A300">
        <v>289</v>
      </c>
      <c r="B300" t="str">
        <f t="shared" si="4"/>
        <v>La Miel</v>
      </c>
      <c r="C300">
        <v>7</v>
      </c>
      <c r="D300" t="s">
        <v>374</v>
      </c>
      <c r="E300">
        <v>7.5865201950073242</v>
      </c>
      <c r="F300">
        <v>-80.392501831054688</v>
      </c>
      <c r="G300">
        <v>89592</v>
      </c>
      <c r="H300">
        <v>702</v>
      </c>
      <c r="I300" t="s">
        <v>105</v>
      </c>
      <c r="J300">
        <v>7.6422300338745117</v>
      </c>
      <c r="K300">
        <v>-80.307899475097656</v>
      </c>
      <c r="L300">
        <v>27146</v>
      </c>
      <c r="M300">
        <v>70210</v>
      </c>
      <c r="N300" t="s">
        <v>394</v>
      </c>
      <c r="O300">
        <v>7.5628299713134766</v>
      </c>
      <c r="P300">
        <v>-80.331497192382813</v>
      </c>
      <c r="Q300">
        <v>290</v>
      </c>
    </row>
    <row r="301" spans="1:17" x14ac:dyDescent="0.25">
      <c r="A301">
        <v>290</v>
      </c>
      <c r="B301" t="str">
        <f t="shared" si="4"/>
        <v>La Palma</v>
      </c>
      <c r="C301">
        <v>7</v>
      </c>
      <c r="D301" t="s">
        <v>374</v>
      </c>
      <c r="E301">
        <v>7.5865201950073242</v>
      </c>
      <c r="F301">
        <v>-80.392501831054688</v>
      </c>
      <c r="G301">
        <v>89592</v>
      </c>
      <c r="H301">
        <v>702</v>
      </c>
      <c r="I301" t="s">
        <v>105</v>
      </c>
      <c r="J301">
        <v>7.6422300338745117</v>
      </c>
      <c r="K301">
        <v>-80.307899475097656</v>
      </c>
      <c r="L301">
        <v>27146</v>
      </c>
      <c r="M301">
        <v>70211</v>
      </c>
      <c r="N301" t="s">
        <v>395</v>
      </c>
      <c r="O301">
        <v>7.7019200325012207</v>
      </c>
      <c r="P301">
        <v>-80.192497253417969</v>
      </c>
      <c r="Q301">
        <v>1247</v>
      </c>
    </row>
    <row r="302" spans="1:17" x14ac:dyDescent="0.25">
      <c r="A302">
        <v>291</v>
      </c>
      <c r="B302" t="str">
        <f t="shared" si="4"/>
        <v>La Tiza</v>
      </c>
      <c r="C302">
        <v>7</v>
      </c>
      <c r="D302" t="s">
        <v>374</v>
      </c>
      <c r="E302">
        <v>7.5865201950073242</v>
      </c>
      <c r="F302">
        <v>-80.392501831054688</v>
      </c>
      <c r="G302">
        <v>89592</v>
      </c>
      <c r="H302">
        <v>702</v>
      </c>
      <c r="I302" t="s">
        <v>105</v>
      </c>
      <c r="J302">
        <v>7.6422300338745117</v>
      </c>
      <c r="K302">
        <v>-80.307899475097656</v>
      </c>
      <c r="L302">
        <v>27146</v>
      </c>
      <c r="M302">
        <v>70212</v>
      </c>
      <c r="N302" t="s">
        <v>396</v>
      </c>
      <c r="O302">
        <v>7.7522602081298828</v>
      </c>
      <c r="P302">
        <v>-80.293197631835938</v>
      </c>
      <c r="Q302">
        <v>1702</v>
      </c>
    </row>
    <row r="303" spans="1:17" x14ac:dyDescent="0.25">
      <c r="A303">
        <v>292</v>
      </c>
      <c r="B303" t="str">
        <f t="shared" si="4"/>
        <v>Las Palmitas</v>
      </c>
      <c r="C303">
        <v>7</v>
      </c>
      <c r="D303" t="s">
        <v>374</v>
      </c>
      <c r="E303">
        <v>7.5865201950073242</v>
      </c>
      <c r="F303">
        <v>-80.392501831054688</v>
      </c>
      <c r="G303">
        <v>89592</v>
      </c>
      <c r="H303">
        <v>702</v>
      </c>
      <c r="I303" t="s">
        <v>105</v>
      </c>
      <c r="J303">
        <v>7.6422300338745117</v>
      </c>
      <c r="K303">
        <v>-80.307899475097656</v>
      </c>
      <c r="L303">
        <v>27146</v>
      </c>
      <c r="M303">
        <v>70213</v>
      </c>
      <c r="N303" t="s">
        <v>397</v>
      </c>
      <c r="O303">
        <v>7.7677397727966309</v>
      </c>
      <c r="P303">
        <v>-80.302597045898438</v>
      </c>
      <c r="Q303">
        <v>2057</v>
      </c>
    </row>
    <row r="304" spans="1:17" x14ac:dyDescent="0.25">
      <c r="A304">
        <v>293</v>
      </c>
      <c r="B304" t="str">
        <f t="shared" si="4"/>
        <v>Las Tablas Abajo</v>
      </c>
      <c r="C304">
        <v>7</v>
      </c>
      <c r="D304" t="s">
        <v>374</v>
      </c>
      <c r="E304">
        <v>7.5865201950073242</v>
      </c>
      <c r="F304">
        <v>-80.392501831054688</v>
      </c>
      <c r="G304">
        <v>89592</v>
      </c>
      <c r="H304">
        <v>702</v>
      </c>
      <c r="I304" t="s">
        <v>105</v>
      </c>
      <c r="J304">
        <v>7.6422300338745117</v>
      </c>
      <c r="K304">
        <v>-80.307899475097656</v>
      </c>
      <c r="L304">
        <v>27146</v>
      </c>
      <c r="M304">
        <v>70214</v>
      </c>
      <c r="N304" t="s">
        <v>398</v>
      </c>
      <c r="O304">
        <v>7.807650089263916</v>
      </c>
      <c r="P304">
        <v>-80.247901916503906</v>
      </c>
      <c r="Q304">
        <v>1030</v>
      </c>
    </row>
    <row r="305" spans="1:17" x14ac:dyDescent="0.25">
      <c r="A305">
        <v>294</v>
      </c>
      <c r="B305" t="str">
        <f t="shared" si="4"/>
        <v>Nuario</v>
      </c>
      <c r="C305">
        <v>7</v>
      </c>
      <c r="D305" t="s">
        <v>374</v>
      </c>
      <c r="E305">
        <v>7.5865201950073242</v>
      </c>
      <c r="F305">
        <v>-80.392501831054688</v>
      </c>
      <c r="G305">
        <v>89592</v>
      </c>
      <c r="H305">
        <v>702</v>
      </c>
      <c r="I305" t="s">
        <v>105</v>
      </c>
      <c r="J305">
        <v>7.6422300338745117</v>
      </c>
      <c r="K305">
        <v>-80.307899475097656</v>
      </c>
      <c r="L305">
        <v>27146</v>
      </c>
      <c r="M305">
        <v>70215</v>
      </c>
      <c r="N305" t="s">
        <v>399</v>
      </c>
      <c r="O305">
        <v>7.519320011138916</v>
      </c>
      <c r="P305">
        <v>-80.299797058105469</v>
      </c>
      <c r="Q305">
        <v>182</v>
      </c>
    </row>
    <row r="306" spans="1:17" x14ac:dyDescent="0.25">
      <c r="A306">
        <v>295</v>
      </c>
      <c r="B306" t="str">
        <f t="shared" si="4"/>
        <v>Palmira</v>
      </c>
      <c r="C306">
        <v>7</v>
      </c>
      <c r="D306" t="s">
        <v>374</v>
      </c>
      <c r="E306">
        <v>7.5865201950073242</v>
      </c>
      <c r="F306">
        <v>-80.392501831054688</v>
      </c>
      <c r="G306">
        <v>89592</v>
      </c>
      <c r="H306">
        <v>702</v>
      </c>
      <c r="I306" t="s">
        <v>105</v>
      </c>
      <c r="J306">
        <v>7.6422300338745117</v>
      </c>
      <c r="K306">
        <v>-80.307899475097656</v>
      </c>
      <c r="L306">
        <v>27146</v>
      </c>
      <c r="M306">
        <v>70216</v>
      </c>
      <c r="N306" t="s">
        <v>202</v>
      </c>
      <c r="O306">
        <v>7.6824002265930176</v>
      </c>
      <c r="P306">
        <v>-80.351402282714844</v>
      </c>
      <c r="Q306">
        <v>93</v>
      </c>
    </row>
    <row r="307" spans="1:17" x14ac:dyDescent="0.25">
      <c r="A307">
        <v>296</v>
      </c>
      <c r="B307" t="str">
        <f t="shared" si="4"/>
        <v>Peña Blanca</v>
      </c>
      <c r="C307">
        <v>7</v>
      </c>
      <c r="D307" t="s">
        <v>374</v>
      </c>
      <c r="E307">
        <v>7.5865201950073242</v>
      </c>
      <c r="F307">
        <v>-80.392501831054688</v>
      </c>
      <c r="G307">
        <v>89592</v>
      </c>
      <c r="H307">
        <v>702</v>
      </c>
      <c r="I307" t="s">
        <v>105</v>
      </c>
      <c r="J307">
        <v>7.6422300338745117</v>
      </c>
      <c r="K307">
        <v>-80.307899475097656</v>
      </c>
      <c r="L307">
        <v>27146</v>
      </c>
      <c r="M307">
        <v>70217</v>
      </c>
      <c r="N307" t="s">
        <v>400</v>
      </c>
      <c r="O307">
        <v>7.7153100967407227</v>
      </c>
      <c r="P307">
        <v>-80.275100708007813</v>
      </c>
      <c r="Q307">
        <v>875</v>
      </c>
    </row>
    <row r="308" spans="1:17" x14ac:dyDescent="0.25">
      <c r="A308">
        <v>297</v>
      </c>
      <c r="B308" t="str">
        <f t="shared" si="4"/>
        <v>Río Hondo</v>
      </c>
      <c r="C308">
        <v>7</v>
      </c>
      <c r="D308" t="s">
        <v>374</v>
      </c>
      <c r="E308">
        <v>7.5865201950073242</v>
      </c>
      <c r="F308">
        <v>-80.392501831054688</v>
      </c>
      <c r="G308">
        <v>89592</v>
      </c>
      <c r="H308">
        <v>702</v>
      </c>
      <c r="I308" t="s">
        <v>105</v>
      </c>
      <c r="J308">
        <v>7.6422300338745117</v>
      </c>
      <c r="K308">
        <v>-80.307899475097656</v>
      </c>
      <c r="L308">
        <v>27146</v>
      </c>
      <c r="M308">
        <v>70218</v>
      </c>
      <c r="N308" t="s">
        <v>401</v>
      </c>
      <c r="O308">
        <v>7.7137198448181152</v>
      </c>
      <c r="P308">
        <v>-80.354103088378906</v>
      </c>
      <c r="Q308">
        <v>206</v>
      </c>
    </row>
    <row r="309" spans="1:17" x14ac:dyDescent="0.25">
      <c r="A309">
        <v>298</v>
      </c>
      <c r="B309" t="str">
        <f t="shared" si="4"/>
        <v>San José</v>
      </c>
      <c r="C309">
        <v>7</v>
      </c>
      <c r="D309" t="s">
        <v>374</v>
      </c>
      <c r="E309">
        <v>7.5865201950073242</v>
      </c>
      <c r="F309">
        <v>-80.392501831054688</v>
      </c>
      <c r="G309">
        <v>89592</v>
      </c>
      <c r="H309">
        <v>702</v>
      </c>
      <c r="I309" t="s">
        <v>105</v>
      </c>
      <c r="J309">
        <v>7.6422300338745117</v>
      </c>
      <c r="K309">
        <v>-80.307899475097656</v>
      </c>
      <c r="L309">
        <v>27146</v>
      </c>
      <c r="M309">
        <v>70219</v>
      </c>
      <c r="N309" t="s">
        <v>402</v>
      </c>
      <c r="O309">
        <v>7.6799402236938477</v>
      </c>
      <c r="P309">
        <v>-80.241302490234375</v>
      </c>
      <c r="Q309">
        <v>593</v>
      </c>
    </row>
    <row r="310" spans="1:17" x14ac:dyDescent="0.25">
      <c r="A310">
        <v>299</v>
      </c>
      <c r="B310" t="str">
        <f t="shared" si="4"/>
        <v>San Miguel</v>
      </c>
      <c r="C310">
        <v>7</v>
      </c>
      <c r="D310" t="s">
        <v>374</v>
      </c>
      <c r="E310">
        <v>7.5865201950073242</v>
      </c>
      <c r="F310">
        <v>-80.392501831054688</v>
      </c>
      <c r="G310">
        <v>89592</v>
      </c>
      <c r="H310">
        <v>702</v>
      </c>
      <c r="I310" t="s">
        <v>105</v>
      </c>
      <c r="J310">
        <v>7.6422300338745117</v>
      </c>
      <c r="K310">
        <v>-80.307899475097656</v>
      </c>
      <c r="L310">
        <v>27146</v>
      </c>
      <c r="M310">
        <v>70220</v>
      </c>
      <c r="N310" t="s">
        <v>403</v>
      </c>
      <c r="O310">
        <v>7.6467900276184082</v>
      </c>
      <c r="P310">
        <v>-80.277198791503906</v>
      </c>
      <c r="Q310">
        <v>116</v>
      </c>
    </row>
    <row r="311" spans="1:17" x14ac:dyDescent="0.25">
      <c r="A311">
        <v>300</v>
      </c>
      <c r="B311" t="str">
        <f t="shared" si="4"/>
        <v>Santo Domingo</v>
      </c>
      <c r="C311">
        <v>7</v>
      </c>
      <c r="D311" t="s">
        <v>374</v>
      </c>
      <c r="E311">
        <v>7.5865201950073242</v>
      </c>
      <c r="F311">
        <v>-80.392501831054688</v>
      </c>
      <c r="G311">
        <v>89592</v>
      </c>
      <c r="H311">
        <v>702</v>
      </c>
      <c r="I311" t="s">
        <v>105</v>
      </c>
      <c r="J311">
        <v>7.6422300338745117</v>
      </c>
      <c r="K311">
        <v>-80.307899475097656</v>
      </c>
      <c r="L311">
        <v>27146</v>
      </c>
      <c r="M311">
        <v>70221</v>
      </c>
      <c r="N311" t="s">
        <v>244</v>
      </c>
      <c r="O311">
        <v>7.7473502159118652</v>
      </c>
      <c r="P311">
        <v>-80.213798522949219</v>
      </c>
      <c r="Q311">
        <v>2050</v>
      </c>
    </row>
    <row r="312" spans="1:17" x14ac:dyDescent="0.25">
      <c r="A312">
        <v>301</v>
      </c>
      <c r="B312" t="str">
        <f t="shared" si="4"/>
        <v>Sesteadero</v>
      </c>
      <c r="C312">
        <v>7</v>
      </c>
      <c r="D312" t="s">
        <v>374</v>
      </c>
      <c r="E312">
        <v>7.5865201950073242</v>
      </c>
      <c r="F312">
        <v>-80.392501831054688</v>
      </c>
      <c r="G312">
        <v>89592</v>
      </c>
      <c r="H312">
        <v>702</v>
      </c>
      <c r="I312" t="s">
        <v>105</v>
      </c>
      <c r="J312">
        <v>7.6422300338745117</v>
      </c>
      <c r="K312">
        <v>-80.307899475097656</v>
      </c>
      <c r="L312">
        <v>27146</v>
      </c>
      <c r="M312">
        <v>70222</v>
      </c>
      <c r="N312" t="s">
        <v>404</v>
      </c>
      <c r="O312">
        <v>7.7464799880981445</v>
      </c>
      <c r="P312">
        <v>-80.255897521972656</v>
      </c>
      <c r="Q312">
        <v>1067</v>
      </c>
    </row>
    <row r="313" spans="1:17" x14ac:dyDescent="0.25">
      <c r="A313">
        <v>302</v>
      </c>
      <c r="B313" t="str">
        <f t="shared" si="4"/>
        <v>Valle Rico</v>
      </c>
      <c r="C313">
        <v>7</v>
      </c>
      <c r="D313" t="s">
        <v>374</v>
      </c>
      <c r="E313">
        <v>7.5865201950073242</v>
      </c>
      <c r="F313">
        <v>-80.392501831054688</v>
      </c>
      <c r="G313">
        <v>89592</v>
      </c>
      <c r="H313">
        <v>702</v>
      </c>
      <c r="I313" t="s">
        <v>105</v>
      </c>
      <c r="J313">
        <v>7.6422300338745117</v>
      </c>
      <c r="K313">
        <v>-80.307899475097656</v>
      </c>
      <c r="L313">
        <v>27146</v>
      </c>
      <c r="M313">
        <v>70223</v>
      </c>
      <c r="N313" t="s">
        <v>405</v>
      </c>
      <c r="O313">
        <v>7.6073298454284668</v>
      </c>
      <c r="P313">
        <v>-80.361602783203125</v>
      </c>
      <c r="Q313">
        <v>400</v>
      </c>
    </row>
    <row r="314" spans="1:17" x14ac:dyDescent="0.25">
      <c r="A314">
        <v>303</v>
      </c>
      <c r="B314" t="str">
        <f t="shared" si="4"/>
        <v>Vallerriquito</v>
      </c>
      <c r="C314">
        <v>7</v>
      </c>
      <c r="D314" t="s">
        <v>374</v>
      </c>
      <c r="E314">
        <v>7.5865201950073242</v>
      </c>
      <c r="F314">
        <v>-80.392501831054688</v>
      </c>
      <c r="G314">
        <v>89592</v>
      </c>
      <c r="H314">
        <v>702</v>
      </c>
      <c r="I314" t="s">
        <v>105</v>
      </c>
      <c r="J314">
        <v>7.6422300338745117</v>
      </c>
      <c r="K314">
        <v>-80.307899475097656</v>
      </c>
      <c r="L314">
        <v>27146</v>
      </c>
      <c r="M314">
        <v>70224</v>
      </c>
      <c r="N314" t="s">
        <v>406</v>
      </c>
      <c r="O314">
        <v>7.627039909362793</v>
      </c>
      <c r="P314">
        <v>-80.30780029296875</v>
      </c>
      <c r="Q314">
        <v>277</v>
      </c>
    </row>
    <row r="315" spans="1:17" x14ac:dyDescent="0.25">
      <c r="A315">
        <v>304</v>
      </c>
      <c r="B315" t="str">
        <f t="shared" si="4"/>
        <v>La Villa de Los Santos (Cabecera)</v>
      </c>
      <c r="C315">
        <v>7</v>
      </c>
      <c r="D315" t="s">
        <v>374</v>
      </c>
      <c r="E315">
        <v>7.5865201950073242</v>
      </c>
      <c r="F315">
        <v>-80.392501831054688</v>
      </c>
      <c r="G315">
        <v>89592</v>
      </c>
      <c r="H315">
        <v>703</v>
      </c>
      <c r="I315" t="s">
        <v>374</v>
      </c>
      <c r="J315">
        <v>7.8709897994995117</v>
      </c>
      <c r="K315">
        <v>-80.434700012207031</v>
      </c>
      <c r="L315">
        <v>25723</v>
      </c>
      <c r="M315">
        <v>70301</v>
      </c>
      <c r="N315" t="s">
        <v>407</v>
      </c>
      <c r="O315">
        <v>7.8972902297973633</v>
      </c>
      <c r="P315">
        <v>-80.454696655273438</v>
      </c>
      <c r="Q315">
        <v>7991</v>
      </c>
    </row>
    <row r="316" spans="1:17" x14ac:dyDescent="0.25">
      <c r="A316">
        <v>305</v>
      </c>
      <c r="B316" t="str">
        <f t="shared" si="4"/>
        <v>El Guásimo</v>
      </c>
      <c r="C316">
        <v>7</v>
      </c>
      <c r="D316" t="s">
        <v>374</v>
      </c>
      <c r="E316">
        <v>7.5865201950073242</v>
      </c>
      <c r="F316">
        <v>-80.392501831054688</v>
      </c>
      <c r="G316">
        <v>89592</v>
      </c>
      <c r="H316">
        <v>703</v>
      </c>
      <c r="I316" t="s">
        <v>374</v>
      </c>
      <c r="J316">
        <v>7.8709897994995117</v>
      </c>
      <c r="K316">
        <v>-80.434700012207031</v>
      </c>
      <c r="L316">
        <v>25723</v>
      </c>
      <c r="M316">
        <v>70302</v>
      </c>
      <c r="N316" t="s">
        <v>190</v>
      </c>
      <c r="O316">
        <v>7.8319301605224609</v>
      </c>
      <c r="P316">
        <v>-80.525398254394531</v>
      </c>
      <c r="Q316">
        <v>610</v>
      </c>
    </row>
    <row r="317" spans="1:17" x14ac:dyDescent="0.25">
      <c r="A317">
        <v>306</v>
      </c>
      <c r="B317" t="str">
        <f t="shared" si="4"/>
        <v>La Colorada</v>
      </c>
      <c r="C317">
        <v>7</v>
      </c>
      <c r="D317" t="s">
        <v>374</v>
      </c>
      <c r="E317">
        <v>7.5865201950073242</v>
      </c>
      <c r="F317">
        <v>-80.392501831054688</v>
      </c>
      <c r="G317">
        <v>89592</v>
      </c>
      <c r="H317">
        <v>703</v>
      </c>
      <c r="I317" t="s">
        <v>374</v>
      </c>
      <c r="J317">
        <v>7.8709897994995117</v>
      </c>
      <c r="K317">
        <v>-80.434700012207031</v>
      </c>
      <c r="L317">
        <v>25723</v>
      </c>
      <c r="M317">
        <v>70303</v>
      </c>
      <c r="N317" t="s">
        <v>408</v>
      </c>
      <c r="O317">
        <v>7.8326401710510254</v>
      </c>
      <c r="P317">
        <v>-80.557998657226563</v>
      </c>
      <c r="Q317">
        <v>1030</v>
      </c>
    </row>
    <row r="318" spans="1:17" x14ac:dyDescent="0.25">
      <c r="A318">
        <v>307</v>
      </c>
      <c r="B318" t="str">
        <f t="shared" si="4"/>
        <v>La Espigadilla</v>
      </c>
      <c r="C318">
        <v>7</v>
      </c>
      <c r="D318" t="s">
        <v>374</v>
      </c>
      <c r="E318">
        <v>7.5865201950073242</v>
      </c>
      <c r="F318">
        <v>-80.392501831054688</v>
      </c>
      <c r="G318">
        <v>89592</v>
      </c>
      <c r="H318">
        <v>703</v>
      </c>
      <c r="I318" t="s">
        <v>374</v>
      </c>
      <c r="J318">
        <v>7.8709897994995117</v>
      </c>
      <c r="K318">
        <v>-80.434700012207031</v>
      </c>
      <c r="L318">
        <v>25723</v>
      </c>
      <c r="M318">
        <v>70304</v>
      </c>
      <c r="N318" t="s">
        <v>409</v>
      </c>
      <c r="O318">
        <v>7.8809800148010254</v>
      </c>
      <c r="P318">
        <v>-80.397300720214844</v>
      </c>
      <c r="Q318">
        <v>1675</v>
      </c>
    </row>
    <row r="319" spans="1:17" x14ac:dyDescent="0.25">
      <c r="A319">
        <v>308</v>
      </c>
      <c r="B319" t="str">
        <f t="shared" si="4"/>
        <v>Las Cruces</v>
      </c>
      <c r="C319">
        <v>7</v>
      </c>
      <c r="D319" t="s">
        <v>374</v>
      </c>
      <c r="E319">
        <v>7.5865201950073242</v>
      </c>
      <c r="F319">
        <v>-80.392501831054688</v>
      </c>
      <c r="G319">
        <v>89592</v>
      </c>
      <c r="H319">
        <v>703</v>
      </c>
      <c r="I319" t="s">
        <v>374</v>
      </c>
      <c r="J319">
        <v>7.8709897994995117</v>
      </c>
      <c r="K319">
        <v>-80.434700012207031</v>
      </c>
      <c r="L319">
        <v>25723</v>
      </c>
      <c r="M319">
        <v>70305</v>
      </c>
      <c r="N319" t="s">
        <v>410</v>
      </c>
      <c r="O319">
        <v>7.8047199249267578</v>
      </c>
      <c r="P319">
        <v>-80.439796447753906</v>
      </c>
      <c r="Q319">
        <v>1201</v>
      </c>
    </row>
    <row r="320" spans="1:17" x14ac:dyDescent="0.25">
      <c r="A320">
        <v>309</v>
      </c>
      <c r="B320" t="str">
        <f t="shared" si="4"/>
        <v>Las Guabas</v>
      </c>
      <c r="C320">
        <v>7</v>
      </c>
      <c r="D320" t="s">
        <v>374</v>
      </c>
      <c r="E320">
        <v>7.5865201950073242</v>
      </c>
      <c r="F320">
        <v>-80.392501831054688</v>
      </c>
      <c r="G320">
        <v>89592</v>
      </c>
      <c r="H320">
        <v>703</v>
      </c>
      <c r="I320" t="s">
        <v>374</v>
      </c>
      <c r="J320">
        <v>7.8709897994995117</v>
      </c>
      <c r="K320">
        <v>-80.434700012207031</v>
      </c>
      <c r="L320">
        <v>25723</v>
      </c>
      <c r="M320">
        <v>70306</v>
      </c>
      <c r="N320" t="s">
        <v>411</v>
      </c>
      <c r="O320">
        <v>7.8208699226379395</v>
      </c>
      <c r="P320">
        <v>-80.496101379394531</v>
      </c>
      <c r="Q320">
        <v>677</v>
      </c>
    </row>
    <row r="321" spans="1:17" x14ac:dyDescent="0.25">
      <c r="A321">
        <v>310</v>
      </c>
      <c r="B321" t="str">
        <f t="shared" si="4"/>
        <v>Los Ángeles</v>
      </c>
      <c r="C321">
        <v>7</v>
      </c>
      <c r="D321" t="s">
        <v>374</v>
      </c>
      <c r="E321">
        <v>7.5865201950073242</v>
      </c>
      <c r="F321">
        <v>-80.392501831054688</v>
      </c>
      <c r="G321">
        <v>89592</v>
      </c>
      <c r="H321">
        <v>703</v>
      </c>
      <c r="I321" t="s">
        <v>374</v>
      </c>
      <c r="J321">
        <v>7.8709897994995117</v>
      </c>
      <c r="K321">
        <v>-80.434700012207031</v>
      </c>
      <c r="L321">
        <v>25723</v>
      </c>
      <c r="M321">
        <v>70307</v>
      </c>
      <c r="N321" t="s">
        <v>266</v>
      </c>
      <c r="O321">
        <v>7.8889398574829102</v>
      </c>
      <c r="P321">
        <v>-80.345001220703125</v>
      </c>
      <c r="Q321">
        <v>868</v>
      </c>
    </row>
    <row r="322" spans="1:17" x14ac:dyDescent="0.25">
      <c r="A322">
        <v>311</v>
      </c>
      <c r="B322" t="str">
        <f t="shared" si="4"/>
        <v>Los Olivos</v>
      </c>
      <c r="C322">
        <v>7</v>
      </c>
      <c r="D322" t="s">
        <v>374</v>
      </c>
      <c r="E322">
        <v>7.5865201950073242</v>
      </c>
      <c r="F322">
        <v>-80.392501831054688</v>
      </c>
      <c r="G322">
        <v>89592</v>
      </c>
      <c r="H322">
        <v>703</v>
      </c>
      <c r="I322" t="s">
        <v>374</v>
      </c>
      <c r="J322">
        <v>7.8709897994995117</v>
      </c>
      <c r="K322">
        <v>-80.434700012207031</v>
      </c>
      <c r="L322">
        <v>25723</v>
      </c>
      <c r="M322">
        <v>70308</v>
      </c>
      <c r="N322" t="s">
        <v>412</v>
      </c>
      <c r="O322">
        <v>7.9118499755859375</v>
      </c>
      <c r="P322">
        <v>-80.498397827148438</v>
      </c>
      <c r="Q322">
        <v>1259</v>
      </c>
    </row>
    <row r="323" spans="1:17" x14ac:dyDescent="0.25">
      <c r="A323">
        <v>312</v>
      </c>
      <c r="B323" t="str">
        <f t="shared" si="4"/>
        <v>Llano Largo</v>
      </c>
      <c r="C323">
        <v>7</v>
      </c>
      <c r="D323" t="s">
        <v>374</v>
      </c>
      <c r="E323">
        <v>7.5865201950073242</v>
      </c>
      <c r="F323">
        <v>-80.392501831054688</v>
      </c>
      <c r="G323">
        <v>89592</v>
      </c>
      <c r="H323">
        <v>703</v>
      </c>
      <c r="I323" t="s">
        <v>374</v>
      </c>
      <c r="J323">
        <v>7.8709897994995117</v>
      </c>
      <c r="K323">
        <v>-80.434700012207031</v>
      </c>
      <c r="L323">
        <v>25723</v>
      </c>
      <c r="M323">
        <v>70309</v>
      </c>
      <c r="N323" t="s">
        <v>413</v>
      </c>
      <c r="O323">
        <v>7.9098601341247559</v>
      </c>
      <c r="P323">
        <v>-80.423896789550781</v>
      </c>
      <c r="Q323">
        <v>2265</v>
      </c>
    </row>
    <row r="324" spans="1:17" x14ac:dyDescent="0.25">
      <c r="A324">
        <v>313</v>
      </c>
      <c r="B324" t="str">
        <f t="shared" si="4"/>
        <v>Sabana Grande</v>
      </c>
      <c r="C324">
        <v>7</v>
      </c>
      <c r="D324" t="s">
        <v>374</v>
      </c>
      <c r="E324">
        <v>7.5865201950073242</v>
      </c>
      <c r="F324">
        <v>-80.392501831054688</v>
      </c>
      <c r="G324">
        <v>89592</v>
      </c>
      <c r="H324">
        <v>703</v>
      </c>
      <c r="I324" t="s">
        <v>374</v>
      </c>
      <c r="J324">
        <v>7.8709897994995117</v>
      </c>
      <c r="K324">
        <v>-80.434700012207031</v>
      </c>
      <c r="L324">
        <v>25723</v>
      </c>
      <c r="M324">
        <v>70310</v>
      </c>
      <c r="N324" t="s">
        <v>366</v>
      </c>
      <c r="O324">
        <v>7.8408398628234863</v>
      </c>
      <c r="P324">
        <v>-80.362197875976563</v>
      </c>
      <c r="Q324">
        <v>1909</v>
      </c>
    </row>
    <row r="325" spans="1:17" x14ac:dyDescent="0.25">
      <c r="A325">
        <v>314</v>
      </c>
      <c r="B325" t="str">
        <f t="shared" si="4"/>
        <v>Santa Ana</v>
      </c>
      <c r="C325">
        <v>7</v>
      </c>
      <c r="D325" t="s">
        <v>374</v>
      </c>
      <c r="E325">
        <v>7.5865201950073242</v>
      </c>
      <c r="F325">
        <v>-80.392501831054688</v>
      </c>
      <c r="G325">
        <v>89592</v>
      </c>
      <c r="H325">
        <v>703</v>
      </c>
      <c r="I325" t="s">
        <v>374</v>
      </c>
      <c r="J325">
        <v>7.8709897994995117</v>
      </c>
      <c r="K325">
        <v>-80.434700012207031</v>
      </c>
      <c r="L325">
        <v>25723</v>
      </c>
      <c r="M325">
        <v>70311</v>
      </c>
      <c r="N325" t="s">
        <v>414</v>
      </c>
      <c r="O325">
        <v>7.9552998542785645</v>
      </c>
      <c r="P325">
        <v>-80.362396240234375</v>
      </c>
      <c r="Q325">
        <v>3329</v>
      </c>
    </row>
    <row r="326" spans="1:17" x14ac:dyDescent="0.25">
      <c r="A326">
        <v>315</v>
      </c>
      <c r="B326" t="str">
        <f t="shared" si="4"/>
        <v>Tres Quebradas</v>
      </c>
      <c r="C326">
        <v>7</v>
      </c>
      <c r="D326" t="s">
        <v>374</v>
      </c>
      <c r="E326">
        <v>7.5865201950073242</v>
      </c>
      <c r="F326">
        <v>-80.392501831054688</v>
      </c>
      <c r="G326">
        <v>89592</v>
      </c>
      <c r="H326">
        <v>703</v>
      </c>
      <c r="I326" t="s">
        <v>374</v>
      </c>
      <c r="J326">
        <v>7.8709897994995117</v>
      </c>
      <c r="K326">
        <v>-80.434700012207031</v>
      </c>
      <c r="L326">
        <v>25723</v>
      </c>
      <c r="M326">
        <v>70312</v>
      </c>
      <c r="N326" t="s">
        <v>415</v>
      </c>
      <c r="O326">
        <v>7.8511600494384766</v>
      </c>
      <c r="P326">
        <v>-80.408599853515625</v>
      </c>
      <c r="Q326">
        <v>717</v>
      </c>
    </row>
    <row r="327" spans="1:17" x14ac:dyDescent="0.25">
      <c r="A327">
        <v>316</v>
      </c>
      <c r="B327" t="str">
        <f t="shared" si="4"/>
        <v>Agua Buena</v>
      </c>
      <c r="C327">
        <v>7</v>
      </c>
      <c r="D327" t="s">
        <v>374</v>
      </c>
      <c r="E327">
        <v>7.5865201950073242</v>
      </c>
      <c r="F327">
        <v>-80.392501831054688</v>
      </c>
      <c r="G327">
        <v>89592</v>
      </c>
      <c r="H327">
        <v>703</v>
      </c>
      <c r="I327" t="s">
        <v>374</v>
      </c>
      <c r="J327">
        <v>7.8709897994995117</v>
      </c>
      <c r="K327">
        <v>-80.434700012207031</v>
      </c>
      <c r="L327">
        <v>25723</v>
      </c>
      <c r="M327">
        <v>70313</v>
      </c>
      <c r="N327" t="s">
        <v>416</v>
      </c>
      <c r="O327">
        <v>7.8206300735473633</v>
      </c>
      <c r="P327">
        <v>-80.399696350097656</v>
      </c>
      <c r="Q327">
        <v>1117</v>
      </c>
    </row>
    <row r="328" spans="1:17" x14ac:dyDescent="0.25">
      <c r="A328">
        <v>317</v>
      </c>
      <c r="B328" t="str">
        <f t="shared" si="4"/>
        <v>Villa Lourdes</v>
      </c>
      <c r="C328">
        <v>7</v>
      </c>
      <c r="D328" t="s">
        <v>374</v>
      </c>
      <c r="E328">
        <v>7.5865201950073242</v>
      </c>
      <c r="F328">
        <v>-80.392501831054688</v>
      </c>
      <c r="G328">
        <v>89592</v>
      </c>
      <c r="H328">
        <v>703</v>
      </c>
      <c r="I328" t="s">
        <v>374</v>
      </c>
      <c r="J328">
        <v>7.8709897994995117</v>
      </c>
      <c r="K328">
        <v>-80.434700012207031</v>
      </c>
      <c r="L328">
        <v>25723</v>
      </c>
      <c r="M328">
        <v>70314</v>
      </c>
      <c r="N328" t="s">
        <v>417</v>
      </c>
      <c r="O328">
        <v>7.809999942779541</v>
      </c>
      <c r="P328">
        <v>-80.46929931640625</v>
      </c>
      <c r="Q328">
        <v>1075</v>
      </c>
    </row>
    <row r="329" spans="1:17" x14ac:dyDescent="0.25">
      <c r="A329">
        <v>318</v>
      </c>
      <c r="B329" t="str">
        <f t="shared" si="4"/>
        <v>Macaracas (Cabecera)</v>
      </c>
      <c r="C329">
        <v>7</v>
      </c>
      <c r="D329" t="s">
        <v>374</v>
      </c>
      <c r="E329">
        <v>7.5865201950073242</v>
      </c>
      <c r="F329">
        <v>-80.392501831054688</v>
      </c>
      <c r="G329">
        <v>89592</v>
      </c>
      <c r="H329">
        <v>704</v>
      </c>
      <c r="I329" t="s">
        <v>418</v>
      </c>
      <c r="J329">
        <v>7.6572599411010742</v>
      </c>
      <c r="K329">
        <v>-80.543197631835938</v>
      </c>
      <c r="L329">
        <v>9021</v>
      </c>
      <c r="M329">
        <v>70401</v>
      </c>
      <c r="N329" t="s">
        <v>419</v>
      </c>
      <c r="O329">
        <v>7.7290902137756348</v>
      </c>
      <c r="P329">
        <v>-80.531402587890625</v>
      </c>
      <c r="Q329">
        <v>2890</v>
      </c>
    </row>
    <row r="330" spans="1:17" x14ac:dyDescent="0.25">
      <c r="A330">
        <v>319</v>
      </c>
      <c r="B330" t="str">
        <f t="shared" si="4"/>
        <v>Bahía Honda</v>
      </c>
      <c r="C330">
        <v>7</v>
      </c>
      <c r="D330" t="s">
        <v>374</v>
      </c>
      <c r="E330">
        <v>7.5865201950073242</v>
      </c>
      <c r="F330">
        <v>-80.392501831054688</v>
      </c>
      <c r="G330">
        <v>89592</v>
      </c>
      <c r="H330">
        <v>704</v>
      </c>
      <c r="I330" t="s">
        <v>418</v>
      </c>
      <c r="J330">
        <v>7.6572599411010742</v>
      </c>
      <c r="K330">
        <v>-80.543197631835938</v>
      </c>
      <c r="L330">
        <v>9021</v>
      </c>
      <c r="M330">
        <v>70402</v>
      </c>
      <c r="N330" t="s">
        <v>420</v>
      </c>
      <c r="O330">
        <v>7.7140898704528809</v>
      </c>
      <c r="P330">
        <v>-80.447502136230469</v>
      </c>
      <c r="Q330">
        <v>646</v>
      </c>
    </row>
    <row r="331" spans="1:17" x14ac:dyDescent="0.25">
      <c r="A331">
        <v>320</v>
      </c>
      <c r="B331" t="str">
        <f t="shared" si="4"/>
        <v>Bajos de Güera</v>
      </c>
      <c r="C331">
        <v>7</v>
      </c>
      <c r="D331" t="s">
        <v>374</v>
      </c>
      <c r="E331">
        <v>7.5865201950073242</v>
      </c>
      <c r="F331">
        <v>-80.392501831054688</v>
      </c>
      <c r="G331">
        <v>89592</v>
      </c>
      <c r="H331">
        <v>704</v>
      </c>
      <c r="I331" t="s">
        <v>418</v>
      </c>
      <c r="J331">
        <v>7.6572599411010742</v>
      </c>
      <c r="K331">
        <v>-80.543197631835938</v>
      </c>
      <c r="L331">
        <v>9021</v>
      </c>
      <c r="M331">
        <v>70403</v>
      </c>
      <c r="N331" t="s">
        <v>421</v>
      </c>
      <c r="O331">
        <v>7.570620059967041</v>
      </c>
      <c r="P331">
        <v>-80.624900817871094</v>
      </c>
      <c r="Q331">
        <v>619</v>
      </c>
    </row>
    <row r="332" spans="1:17" x14ac:dyDescent="0.25">
      <c r="A332">
        <v>321</v>
      </c>
      <c r="B332" t="str">
        <f t="shared" ref="B332:B395" si="5">+N332</f>
        <v>Corozal</v>
      </c>
      <c r="C332">
        <v>7</v>
      </c>
      <c r="D332" t="s">
        <v>374</v>
      </c>
      <c r="E332">
        <v>7.5865201950073242</v>
      </c>
      <c r="F332">
        <v>-80.392501831054688</v>
      </c>
      <c r="G332">
        <v>89592</v>
      </c>
      <c r="H332">
        <v>704</v>
      </c>
      <c r="I332" t="s">
        <v>418</v>
      </c>
      <c r="J332">
        <v>7.6572599411010742</v>
      </c>
      <c r="K332">
        <v>-80.543197631835938</v>
      </c>
      <c r="L332">
        <v>9021</v>
      </c>
      <c r="M332">
        <v>70404</v>
      </c>
      <c r="N332" t="s">
        <v>422</v>
      </c>
      <c r="O332">
        <v>7.7470598220825195</v>
      </c>
      <c r="P332">
        <v>-80.476303100585938</v>
      </c>
      <c r="Q332">
        <v>625</v>
      </c>
    </row>
    <row r="333" spans="1:17" x14ac:dyDescent="0.25">
      <c r="A333">
        <v>322</v>
      </c>
      <c r="B333" t="str">
        <f t="shared" si="5"/>
        <v>Chupa</v>
      </c>
      <c r="C333">
        <v>7</v>
      </c>
      <c r="D333" t="s">
        <v>374</v>
      </c>
      <c r="E333">
        <v>7.5865201950073242</v>
      </c>
      <c r="F333">
        <v>-80.392501831054688</v>
      </c>
      <c r="G333">
        <v>89592</v>
      </c>
      <c r="H333">
        <v>704</v>
      </c>
      <c r="I333" t="s">
        <v>418</v>
      </c>
      <c r="J333">
        <v>7.6572599411010742</v>
      </c>
      <c r="K333">
        <v>-80.543197631835938</v>
      </c>
      <c r="L333">
        <v>9021</v>
      </c>
      <c r="M333">
        <v>70405</v>
      </c>
      <c r="N333" t="s">
        <v>423</v>
      </c>
      <c r="O333">
        <v>7.784599781036377</v>
      </c>
      <c r="P333">
        <v>-80.568901062011719</v>
      </c>
      <c r="Q333">
        <v>520</v>
      </c>
    </row>
    <row r="334" spans="1:17" x14ac:dyDescent="0.25">
      <c r="A334">
        <v>323</v>
      </c>
      <c r="B334" t="str">
        <f t="shared" si="5"/>
        <v>El Cedro</v>
      </c>
      <c r="C334">
        <v>7</v>
      </c>
      <c r="D334" t="s">
        <v>374</v>
      </c>
      <c r="E334">
        <v>7.5865201950073242</v>
      </c>
      <c r="F334">
        <v>-80.392501831054688</v>
      </c>
      <c r="G334">
        <v>89592</v>
      </c>
      <c r="H334">
        <v>704</v>
      </c>
      <c r="I334" t="s">
        <v>418</v>
      </c>
      <c r="J334">
        <v>7.6572599411010742</v>
      </c>
      <c r="K334">
        <v>-80.543197631835938</v>
      </c>
      <c r="L334">
        <v>9021</v>
      </c>
      <c r="M334">
        <v>70406</v>
      </c>
      <c r="N334" t="s">
        <v>340</v>
      </c>
      <c r="O334">
        <v>7.7759799957275391</v>
      </c>
      <c r="P334">
        <v>-80.52960205078125</v>
      </c>
      <c r="Q334">
        <v>450</v>
      </c>
    </row>
    <row r="335" spans="1:17" x14ac:dyDescent="0.25">
      <c r="A335">
        <v>324</v>
      </c>
      <c r="B335" t="str">
        <f t="shared" si="5"/>
        <v>Espino Amarillo</v>
      </c>
      <c r="C335">
        <v>7</v>
      </c>
      <c r="D335" t="s">
        <v>374</v>
      </c>
      <c r="E335">
        <v>7.5865201950073242</v>
      </c>
      <c r="F335">
        <v>-80.392501831054688</v>
      </c>
      <c r="G335">
        <v>89592</v>
      </c>
      <c r="H335">
        <v>704</v>
      </c>
      <c r="I335" t="s">
        <v>418</v>
      </c>
      <c r="J335">
        <v>7.6572599411010742</v>
      </c>
      <c r="K335">
        <v>-80.543197631835938</v>
      </c>
      <c r="L335">
        <v>9021</v>
      </c>
      <c r="M335">
        <v>70407</v>
      </c>
      <c r="N335" t="s">
        <v>424</v>
      </c>
      <c r="O335">
        <v>7.6837301254272461</v>
      </c>
      <c r="P335">
        <v>-80.462699890136719</v>
      </c>
      <c r="Q335">
        <v>193</v>
      </c>
    </row>
    <row r="336" spans="1:17" x14ac:dyDescent="0.25">
      <c r="A336">
        <v>325</v>
      </c>
      <c r="B336" t="str">
        <f t="shared" si="5"/>
        <v>La Mesa</v>
      </c>
      <c r="C336">
        <v>7</v>
      </c>
      <c r="D336" t="s">
        <v>374</v>
      </c>
      <c r="E336">
        <v>7.5865201950073242</v>
      </c>
      <c r="F336">
        <v>-80.392501831054688</v>
      </c>
      <c r="G336">
        <v>89592</v>
      </c>
      <c r="H336">
        <v>704</v>
      </c>
      <c r="I336" t="s">
        <v>418</v>
      </c>
      <c r="J336">
        <v>7.6572599411010742</v>
      </c>
      <c r="K336">
        <v>-80.543197631835938</v>
      </c>
      <c r="L336">
        <v>9021</v>
      </c>
      <c r="M336">
        <v>70408</v>
      </c>
      <c r="N336" t="s">
        <v>425</v>
      </c>
      <c r="O336">
        <v>7.6373400688171387</v>
      </c>
      <c r="P336">
        <v>-80.619697570800781</v>
      </c>
      <c r="Q336">
        <v>641</v>
      </c>
    </row>
    <row r="337" spans="1:17" x14ac:dyDescent="0.25">
      <c r="A337">
        <v>326</v>
      </c>
      <c r="B337" t="str">
        <f t="shared" si="5"/>
        <v>Las Palmas</v>
      </c>
      <c r="C337">
        <v>7</v>
      </c>
      <c r="D337" t="s">
        <v>374</v>
      </c>
      <c r="E337">
        <v>7.5865201950073242</v>
      </c>
      <c r="F337">
        <v>-80.392501831054688</v>
      </c>
      <c r="G337">
        <v>89592</v>
      </c>
      <c r="H337">
        <v>704</v>
      </c>
      <c r="I337" t="s">
        <v>418</v>
      </c>
      <c r="J337">
        <v>7.6572599411010742</v>
      </c>
      <c r="K337">
        <v>-80.543197631835938</v>
      </c>
      <c r="L337">
        <v>9021</v>
      </c>
      <c r="M337">
        <v>70409</v>
      </c>
      <c r="N337" t="s">
        <v>426</v>
      </c>
      <c r="O337">
        <v>7.6760201454162598</v>
      </c>
      <c r="P337">
        <v>-80.503799438476563</v>
      </c>
      <c r="Q337">
        <v>436</v>
      </c>
    </row>
    <row r="338" spans="1:17" x14ac:dyDescent="0.25">
      <c r="A338">
        <v>327</v>
      </c>
      <c r="B338" t="str">
        <f t="shared" si="5"/>
        <v>Llano de Piedra</v>
      </c>
      <c r="C338">
        <v>7</v>
      </c>
      <c r="D338" t="s">
        <v>374</v>
      </c>
      <c r="E338">
        <v>7.5865201950073242</v>
      </c>
      <c r="F338">
        <v>-80.392501831054688</v>
      </c>
      <c r="G338">
        <v>89592</v>
      </c>
      <c r="H338">
        <v>704</v>
      </c>
      <c r="I338" t="s">
        <v>418</v>
      </c>
      <c r="J338">
        <v>7.6572599411010742</v>
      </c>
      <c r="K338">
        <v>-80.543197631835938</v>
      </c>
      <c r="L338">
        <v>9021</v>
      </c>
      <c r="M338">
        <v>70410</v>
      </c>
      <c r="N338" t="s">
        <v>427</v>
      </c>
      <c r="O338">
        <v>7.6359901428222656</v>
      </c>
      <c r="P338">
        <v>-80.550201416015625</v>
      </c>
      <c r="Q338">
        <v>1737</v>
      </c>
    </row>
    <row r="339" spans="1:17" x14ac:dyDescent="0.25">
      <c r="A339">
        <v>328</v>
      </c>
      <c r="B339" t="str">
        <f t="shared" si="5"/>
        <v>Mogollón</v>
      </c>
      <c r="C339">
        <v>7</v>
      </c>
      <c r="D339" t="s">
        <v>374</v>
      </c>
      <c r="E339">
        <v>7.5865201950073242</v>
      </c>
      <c r="F339">
        <v>-80.392501831054688</v>
      </c>
      <c r="G339">
        <v>89592</v>
      </c>
      <c r="H339">
        <v>704</v>
      </c>
      <c r="I339" t="s">
        <v>418</v>
      </c>
      <c r="J339">
        <v>7.6572599411010742</v>
      </c>
      <c r="K339">
        <v>-80.543197631835938</v>
      </c>
      <c r="L339">
        <v>9021</v>
      </c>
      <c r="M339">
        <v>70411</v>
      </c>
      <c r="N339" t="s">
        <v>428</v>
      </c>
      <c r="O339">
        <v>7.616569995880127</v>
      </c>
      <c r="P339">
        <v>-80.479301452636719</v>
      </c>
      <c r="Q339">
        <v>264</v>
      </c>
    </row>
    <row r="340" spans="1:17" x14ac:dyDescent="0.25">
      <c r="A340">
        <v>329</v>
      </c>
      <c r="B340" t="str">
        <f t="shared" si="5"/>
        <v>Pedasí (Cabecera)</v>
      </c>
      <c r="C340">
        <v>7</v>
      </c>
      <c r="D340" t="s">
        <v>374</v>
      </c>
      <c r="E340">
        <v>7.5865201950073242</v>
      </c>
      <c r="F340">
        <v>-80.392501831054688</v>
      </c>
      <c r="G340">
        <v>89592</v>
      </c>
      <c r="H340">
        <v>705</v>
      </c>
      <c r="I340" t="s">
        <v>429</v>
      </c>
      <c r="J340">
        <v>7.5086097717285156</v>
      </c>
      <c r="K340">
        <v>-80.108001708984375</v>
      </c>
      <c r="L340">
        <v>4275</v>
      </c>
      <c r="M340">
        <v>70501</v>
      </c>
      <c r="N340" t="s">
        <v>430</v>
      </c>
      <c r="O340">
        <v>7.4986600875854492</v>
      </c>
      <c r="P340">
        <v>-80.049003601074219</v>
      </c>
      <c r="Q340">
        <v>2410</v>
      </c>
    </row>
    <row r="341" spans="1:17" x14ac:dyDescent="0.25">
      <c r="A341">
        <v>330</v>
      </c>
      <c r="B341" t="str">
        <f t="shared" si="5"/>
        <v>Los Asientos</v>
      </c>
      <c r="C341">
        <v>7</v>
      </c>
      <c r="D341" t="s">
        <v>374</v>
      </c>
      <c r="E341">
        <v>7.5865201950073242</v>
      </c>
      <c r="F341">
        <v>-80.392501831054688</v>
      </c>
      <c r="G341">
        <v>89592</v>
      </c>
      <c r="H341">
        <v>705</v>
      </c>
      <c r="I341" t="s">
        <v>429</v>
      </c>
      <c r="J341">
        <v>7.5086097717285156</v>
      </c>
      <c r="K341">
        <v>-80.108001708984375</v>
      </c>
      <c r="L341">
        <v>4275</v>
      </c>
      <c r="M341">
        <v>70502</v>
      </c>
      <c r="N341" t="s">
        <v>431</v>
      </c>
      <c r="O341">
        <v>7.4956002235412598</v>
      </c>
      <c r="P341">
        <v>-80.121696472167969</v>
      </c>
      <c r="Q341">
        <v>755</v>
      </c>
    </row>
    <row r="342" spans="1:17" x14ac:dyDescent="0.25">
      <c r="A342">
        <v>331</v>
      </c>
      <c r="B342" t="str">
        <f t="shared" si="5"/>
        <v>Mariabé</v>
      </c>
      <c r="C342">
        <v>7</v>
      </c>
      <c r="D342" t="s">
        <v>374</v>
      </c>
      <c r="E342">
        <v>7.5865201950073242</v>
      </c>
      <c r="F342">
        <v>-80.392501831054688</v>
      </c>
      <c r="G342">
        <v>89592</v>
      </c>
      <c r="H342">
        <v>705</v>
      </c>
      <c r="I342" t="s">
        <v>429</v>
      </c>
      <c r="J342">
        <v>7.5086097717285156</v>
      </c>
      <c r="K342">
        <v>-80.108001708984375</v>
      </c>
      <c r="L342">
        <v>4275</v>
      </c>
      <c r="M342">
        <v>70503</v>
      </c>
      <c r="N342" t="s">
        <v>432</v>
      </c>
      <c r="O342">
        <v>7.5845799446105957</v>
      </c>
      <c r="P342">
        <v>-80.057998657226563</v>
      </c>
      <c r="Q342">
        <v>319</v>
      </c>
    </row>
    <row r="343" spans="1:17" x14ac:dyDescent="0.25">
      <c r="A343">
        <v>332</v>
      </c>
      <c r="B343" t="str">
        <f t="shared" si="5"/>
        <v>Purio</v>
      </c>
      <c r="C343">
        <v>7</v>
      </c>
      <c r="D343" t="s">
        <v>374</v>
      </c>
      <c r="E343">
        <v>7.5865201950073242</v>
      </c>
      <c r="F343">
        <v>-80.392501831054688</v>
      </c>
      <c r="G343">
        <v>89592</v>
      </c>
      <c r="H343">
        <v>705</v>
      </c>
      <c r="I343" t="s">
        <v>429</v>
      </c>
      <c r="J343">
        <v>7.5086097717285156</v>
      </c>
      <c r="K343">
        <v>-80.108001708984375</v>
      </c>
      <c r="L343">
        <v>4275</v>
      </c>
      <c r="M343">
        <v>70504</v>
      </c>
      <c r="N343" t="s">
        <v>433</v>
      </c>
      <c r="O343">
        <v>7.5954098701477051</v>
      </c>
      <c r="P343">
        <v>-80.087898254394531</v>
      </c>
      <c r="Q343">
        <v>494</v>
      </c>
    </row>
    <row r="344" spans="1:17" x14ac:dyDescent="0.25">
      <c r="A344">
        <v>333</v>
      </c>
      <c r="B344" t="str">
        <f t="shared" si="5"/>
        <v>Oria Arriba</v>
      </c>
      <c r="C344">
        <v>7</v>
      </c>
      <c r="D344" t="s">
        <v>374</v>
      </c>
      <c r="E344">
        <v>7.5865201950073242</v>
      </c>
      <c r="F344">
        <v>-80.392501831054688</v>
      </c>
      <c r="G344">
        <v>89592</v>
      </c>
      <c r="H344">
        <v>705</v>
      </c>
      <c r="I344" t="s">
        <v>429</v>
      </c>
      <c r="J344">
        <v>7.5086097717285156</v>
      </c>
      <c r="K344">
        <v>-80.108001708984375</v>
      </c>
      <c r="L344">
        <v>4275</v>
      </c>
      <c r="M344">
        <v>70505</v>
      </c>
      <c r="N344" t="s">
        <v>434</v>
      </c>
      <c r="O344">
        <v>7.4756999015808105</v>
      </c>
      <c r="P344">
        <v>-80.1885986328125</v>
      </c>
      <c r="Q344">
        <v>297</v>
      </c>
    </row>
    <row r="345" spans="1:17" x14ac:dyDescent="0.25">
      <c r="A345">
        <v>334</v>
      </c>
      <c r="B345" t="str">
        <f t="shared" si="5"/>
        <v>Pocrí (Cabecera)</v>
      </c>
      <c r="C345">
        <v>7</v>
      </c>
      <c r="D345" t="s">
        <v>374</v>
      </c>
      <c r="E345">
        <v>7.5865201950073242</v>
      </c>
      <c r="F345">
        <v>-80.392501831054688</v>
      </c>
      <c r="G345">
        <v>89592</v>
      </c>
      <c r="H345">
        <v>706</v>
      </c>
      <c r="I345" t="s">
        <v>121</v>
      </c>
      <c r="J345">
        <v>7.6311302185058594</v>
      </c>
      <c r="K345">
        <v>-80.1593017578125</v>
      </c>
      <c r="L345">
        <v>3259</v>
      </c>
      <c r="M345">
        <v>70601</v>
      </c>
      <c r="N345" t="s">
        <v>435</v>
      </c>
      <c r="O345">
        <v>7.6487398147583008</v>
      </c>
      <c r="P345">
        <v>-80.114501953125</v>
      </c>
      <c r="Q345">
        <v>1002</v>
      </c>
    </row>
    <row r="346" spans="1:17" x14ac:dyDescent="0.25">
      <c r="A346">
        <v>335</v>
      </c>
      <c r="B346" t="str">
        <f t="shared" si="5"/>
        <v>El Cañafístulo</v>
      </c>
      <c r="C346">
        <v>7</v>
      </c>
      <c r="D346" t="s">
        <v>374</v>
      </c>
      <c r="E346">
        <v>7.5865201950073242</v>
      </c>
      <c r="F346">
        <v>-80.392501831054688</v>
      </c>
      <c r="G346">
        <v>89592</v>
      </c>
      <c r="H346">
        <v>706</v>
      </c>
      <c r="I346" t="s">
        <v>121</v>
      </c>
      <c r="J346">
        <v>7.6311302185058594</v>
      </c>
      <c r="K346">
        <v>-80.1593017578125</v>
      </c>
      <c r="L346">
        <v>3259</v>
      </c>
      <c r="M346">
        <v>70602</v>
      </c>
      <c r="N346" t="s">
        <v>436</v>
      </c>
      <c r="O346">
        <v>7.6134200096130371</v>
      </c>
      <c r="P346">
        <v>-80.210502624511719</v>
      </c>
      <c r="Q346">
        <v>363</v>
      </c>
    </row>
    <row r="347" spans="1:17" x14ac:dyDescent="0.25">
      <c r="A347">
        <v>336</v>
      </c>
      <c r="B347" t="str">
        <f t="shared" si="5"/>
        <v>Lajamina</v>
      </c>
      <c r="C347">
        <v>7</v>
      </c>
      <c r="D347" t="s">
        <v>374</v>
      </c>
      <c r="E347">
        <v>7.5865201950073242</v>
      </c>
      <c r="F347">
        <v>-80.392501831054688</v>
      </c>
      <c r="G347">
        <v>89592</v>
      </c>
      <c r="H347">
        <v>706</v>
      </c>
      <c r="I347" t="s">
        <v>121</v>
      </c>
      <c r="J347">
        <v>7.6311302185058594</v>
      </c>
      <c r="K347">
        <v>-80.1593017578125</v>
      </c>
      <c r="L347">
        <v>3259</v>
      </c>
      <c r="M347">
        <v>70603</v>
      </c>
      <c r="N347" t="s">
        <v>437</v>
      </c>
      <c r="O347">
        <v>7.5806398391723633</v>
      </c>
      <c r="P347">
        <v>-80.139701843261719</v>
      </c>
      <c r="Q347">
        <v>514</v>
      </c>
    </row>
    <row r="348" spans="1:17" x14ac:dyDescent="0.25">
      <c r="A348">
        <v>337</v>
      </c>
      <c r="B348" t="str">
        <f t="shared" si="5"/>
        <v>Paraíso</v>
      </c>
      <c r="C348">
        <v>7</v>
      </c>
      <c r="D348" t="s">
        <v>374</v>
      </c>
      <c r="E348">
        <v>7.5865201950073242</v>
      </c>
      <c r="F348">
        <v>-80.392501831054688</v>
      </c>
      <c r="G348">
        <v>89592</v>
      </c>
      <c r="H348">
        <v>706</v>
      </c>
      <c r="I348" t="s">
        <v>121</v>
      </c>
      <c r="J348">
        <v>7.6311302185058594</v>
      </c>
      <c r="K348">
        <v>-80.1593017578125</v>
      </c>
      <c r="L348">
        <v>3259</v>
      </c>
      <c r="M348">
        <v>70604</v>
      </c>
      <c r="N348" t="s">
        <v>228</v>
      </c>
      <c r="O348">
        <v>7.7012300491333008</v>
      </c>
      <c r="P348">
        <v>-80.1531982421875</v>
      </c>
      <c r="Q348">
        <v>597</v>
      </c>
    </row>
    <row r="349" spans="1:17" x14ac:dyDescent="0.25">
      <c r="A349">
        <v>338</v>
      </c>
      <c r="B349" t="str">
        <f t="shared" si="5"/>
        <v>Paritilla</v>
      </c>
      <c r="C349">
        <v>7</v>
      </c>
      <c r="D349" t="s">
        <v>374</v>
      </c>
      <c r="E349">
        <v>7.5865201950073242</v>
      </c>
      <c r="F349">
        <v>-80.392501831054688</v>
      </c>
      <c r="G349">
        <v>89592</v>
      </c>
      <c r="H349">
        <v>706</v>
      </c>
      <c r="I349" t="s">
        <v>121</v>
      </c>
      <c r="J349">
        <v>7.6311302185058594</v>
      </c>
      <c r="K349">
        <v>-80.1593017578125</v>
      </c>
      <c r="L349">
        <v>3259</v>
      </c>
      <c r="M349">
        <v>70605</v>
      </c>
      <c r="N349" t="s">
        <v>438</v>
      </c>
      <c r="O349">
        <v>7.596560001373291</v>
      </c>
      <c r="P349">
        <v>-80.180900573730469</v>
      </c>
      <c r="Q349">
        <v>783</v>
      </c>
    </row>
    <row r="350" spans="1:17" x14ac:dyDescent="0.25">
      <c r="A350">
        <v>339</v>
      </c>
      <c r="B350" t="str">
        <f t="shared" si="5"/>
        <v>Tonosí (Cabecera)</v>
      </c>
      <c r="C350">
        <v>7</v>
      </c>
      <c r="D350" t="s">
        <v>374</v>
      </c>
      <c r="E350">
        <v>7.5865201950073242</v>
      </c>
      <c r="F350">
        <v>-80.392501831054688</v>
      </c>
      <c r="G350">
        <v>89592</v>
      </c>
      <c r="H350">
        <v>707</v>
      </c>
      <c r="I350" t="s">
        <v>439</v>
      </c>
      <c r="J350">
        <v>7.4139499664306641</v>
      </c>
      <c r="K350">
        <v>-80.505699157714844</v>
      </c>
      <c r="L350">
        <v>9787</v>
      </c>
      <c r="M350">
        <v>70701</v>
      </c>
      <c r="N350" t="s">
        <v>440</v>
      </c>
      <c r="O350">
        <v>7.3755598068237305</v>
      </c>
      <c r="P350">
        <v>-80.400199890136719</v>
      </c>
      <c r="Q350">
        <v>2257</v>
      </c>
    </row>
    <row r="351" spans="1:17" x14ac:dyDescent="0.25">
      <c r="A351">
        <v>340</v>
      </c>
      <c r="B351" t="str">
        <f t="shared" si="5"/>
        <v>Altos de Güera</v>
      </c>
      <c r="C351">
        <v>7</v>
      </c>
      <c r="D351" t="s">
        <v>374</v>
      </c>
      <c r="E351">
        <v>7.5865201950073242</v>
      </c>
      <c r="F351">
        <v>-80.392501831054688</v>
      </c>
      <c r="G351">
        <v>89592</v>
      </c>
      <c r="H351">
        <v>707</v>
      </c>
      <c r="I351" t="s">
        <v>439</v>
      </c>
      <c r="J351">
        <v>7.4139499664306641</v>
      </c>
      <c r="K351">
        <v>-80.505699157714844</v>
      </c>
      <c r="L351">
        <v>9787</v>
      </c>
      <c r="M351">
        <v>70702</v>
      </c>
      <c r="N351" t="s">
        <v>441</v>
      </c>
      <c r="O351">
        <v>7.5226998329162598</v>
      </c>
      <c r="P351">
        <v>-80.608901977539063</v>
      </c>
      <c r="Q351">
        <v>632</v>
      </c>
    </row>
    <row r="352" spans="1:17" x14ac:dyDescent="0.25">
      <c r="A352">
        <v>341</v>
      </c>
      <c r="B352" t="str">
        <f t="shared" si="5"/>
        <v>Cañas</v>
      </c>
      <c r="C352">
        <v>7</v>
      </c>
      <c r="D352" t="s">
        <v>374</v>
      </c>
      <c r="E352">
        <v>7.5865201950073242</v>
      </c>
      <c r="F352">
        <v>-80.392501831054688</v>
      </c>
      <c r="G352">
        <v>89592</v>
      </c>
      <c r="H352">
        <v>707</v>
      </c>
      <c r="I352" t="s">
        <v>439</v>
      </c>
      <c r="J352">
        <v>7.4139499664306641</v>
      </c>
      <c r="K352">
        <v>-80.505699157714844</v>
      </c>
      <c r="L352">
        <v>9787</v>
      </c>
      <c r="M352">
        <v>70703</v>
      </c>
      <c r="N352" t="s">
        <v>442</v>
      </c>
      <c r="O352">
        <v>7.4635601043701172</v>
      </c>
      <c r="P352">
        <v>-80.2864990234375</v>
      </c>
      <c r="Q352">
        <v>650</v>
      </c>
    </row>
    <row r="353" spans="1:17" x14ac:dyDescent="0.25">
      <c r="A353">
        <v>342</v>
      </c>
      <c r="B353" t="str">
        <f t="shared" si="5"/>
        <v>El Bebedero</v>
      </c>
      <c r="C353">
        <v>7</v>
      </c>
      <c r="D353" t="s">
        <v>374</v>
      </c>
      <c r="E353">
        <v>7.5865201950073242</v>
      </c>
      <c r="F353">
        <v>-80.392501831054688</v>
      </c>
      <c r="G353">
        <v>89592</v>
      </c>
      <c r="H353">
        <v>707</v>
      </c>
      <c r="I353" t="s">
        <v>439</v>
      </c>
      <c r="J353">
        <v>7.4139499664306641</v>
      </c>
      <c r="K353">
        <v>-80.505699157714844</v>
      </c>
      <c r="L353">
        <v>9787</v>
      </c>
      <c r="M353">
        <v>70704</v>
      </c>
      <c r="N353" t="s">
        <v>443</v>
      </c>
      <c r="O353">
        <v>7.4238600730895996</v>
      </c>
      <c r="P353">
        <v>-80.496597290039063</v>
      </c>
      <c r="Q353">
        <v>1332</v>
      </c>
    </row>
    <row r="354" spans="1:17" x14ac:dyDescent="0.25">
      <c r="A354">
        <v>343</v>
      </c>
      <c r="B354" t="str">
        <f t="shared" si="5"/>
        <v>El Cacao</v>
      </c>
      <c r="C354">
        <v>7</v>
      </c>
      <c r="D354" t="s">
        <v>374</v>
      </c>
      <c r="E354">
        <v>7.5865201950073242</v>
      </c>
      <c r="F354">
        <v>-80.392501831054688</v>
      </c>
      <c r="G354">
        <v>89592</v>
      </c>
      <c r="H354">
        <v>707</v>
      </c>
      <c r="I354" t="s">
        <v>439</v>
      </c>
      <c r="J354">
        <v>7.4139499664306641</v>
      </c>
      <c r="K354">
        <v>-80.505699157714844</v>
      </c>
      <c r="L354">
        <v>9787</v>
      </c>
      <c r="M354">
        <v>70705</v>
      </c>
      <c r="N354" t="s">
        <v>444</v>
      </c>
      <c r="O354">
        <v>7.4487900733947754</v>
      </c>
      <c r="P354">
        <v>-80.404800415039063</v>
      </c>
      <c r="Q354">
        <v>1049</v>
      </c>
    </row>
    <row r="355" spans="1:17" x14ac:dyDescent="0.25">
      <c r="A355">
        <v>344</v>
      </c>
      <c r="B355" t="str">
        <f t="shared" si="5"/>
        <v>El Cortezo</v>
      </c>
      <c r="C355">
        <v>7</v>
      </c>
      <c r="D355" t="s">
        <v>374</v>
      </c>
      <c r="E355">
        <v>7.5865201950073242</v>
      </c>
      <c r="F355">
        <v>-80.392501831054688</v>
      </c>
      <c r="G355">
        <v>89592</v>
      </c>
      <c r="H355">
        <v>707</v>
      </c>
      <c r="I355" t="s">
        <v>439</v>
      </c>
      <c r="J355">
        <v>7.4139499664306641</v>
      </c>
      <c r="K355">
        <v>-80.505699157714844</v>
      </c>
      <c r="L355">
        <v>9787</v>
      </c>
      <c r="M355">
        <v>70706</v>
      </c>
      <c r="N355" t="s">
        <v>445</v>
      </c>
      <c r="O355">
        <v>7.4372100830078125</v>
      </c>
      <c r="P355">
        <v>-80.660301208496094</v>
      </c>
      <c r="Q355">
        <v>662</v>
      </c>
    </row>
    <row r="356" spans="1:17" x14ac:dyDescent="0.25">
      <c r="A356">
        <v>345</v>
      </c>
      <c r="B356" t="str">
        <f t="shared" si="5"/>
        <v>Flores</v>
      </c>
      <c r="C356">
        <v>7</v>
      </c>
      <c r="D356" t="s">
        <v>374</v>
      </c>
      <c r="E356">
        <v>7.5865201950073242</v>
      </c>
      <c r="F356">
        <v>-80.392501831054688</v>
      </c>
      <c r="G356">
        <v>89592</v>
      </c>
      <c r="H356">
        <v>707</v>
      </c>
      <c r="I356" t="s">
        <v>439</v>
      </c>
      <c r="J356">
        <v>7.4139499664306641</v>
      </c>
      <c r="K356">
        <v>-80.505699157714844</v>
      </c>
      <c r="L356">
        <v>9787</v>
      </c>
      <c r="M356">
        <v>70707</v>
      </c>
      <c r="N356" t="s">
        <v>446</v>
      </c>
      <c r="O356">
        <v>7.5130701065063477</v>
      </c>
      <c r="P356">
        <v>-80.43609619140625</v>
      </c>
      <c r="Q356">
        <v>664</v>
      </c>
    </row>
    <row r="357" spans="1:17" x14ac:dyDescent="0.25">
      <c r="A357">
        <v>346</v>
      </c>
      <c r="B357" t="str">
        <f t="shared" si="5"/>
        <v>Guánico</v>
      </c>
      <c r="C357">
        <v>7</v>
      </c>
      <c r="D357" t="s">
        <v>374</v>
      </c>
      <c r="E357">
        <v>7.5865201950073242</v>
      </c>
      <c r="F357">
        <v>-80.392501831054688</v>
      </c>
      <c r="G357">
        <v>89592</v>
      </c>
      <c r="H357">
        <v>707</v>
      </c>
      <c r="I357" t="s">
        <v>439</v>
      </c>
      <c r="J357">
        <v>7.4139499664306641</v>
      </c>
      <c r="K357">
        <v>-80.505699157714844</v>
      </c>
      <c r="L357">
        <v>9787</v>
      </c>
      <c r="M357">
        <v>70708</v>
      </c>
      <c r="N357" t="s">
        <v>447</v>
      </c>
      <c r="O357">
        <v>7.3377799987792969</v>
      </c>
      <c r="P357">
        <v>-80.499099731445313</v>
      </c>
      <c r="Q357">
        <v>996</v>
      </c>
    </row>
    <row r="358" spans="1:17" x14ac:dyDescent="0.25">
      <c r="A358">
        <v>347</v>
      </c>
      <c r="B358" t="str">
        <f t="shared" si="5"/>
        <v>La Tronosa</v>
      </c>
      <c r="C358">
        <v>7</v>
      </c>
      <c r="D358" t="s">
        <v>374</v>
      </c>
      <c r="E358">
        <v>7.5865201950073242</v>
      </c>
      <c r="F358">
        <v>-80.392501831054688</v>
      </c>
      <c r="G358">
        <v>89592</v>
      </c>
      <c r="H358">
        <v>707</v>
      </c>
      <c r="I358" t="s">
        <v>439</v>
      </c>
      <c r="J358">
        <v>7.4139499664306641</v>
      </c>
      <c r="K358">
        <v>-80.505699157714844</v>
      </c>
      <c r="L358">
        <v>9787</v>
      </c>
      <c r="M358">
        <v>70709</v>
      </c>
      <c r="N358" t="s">
        <v>448</v>
      </c>
      <c r="O358">
        <v>7.4542698860168457</v>
      </c>
      <c r="P358">
        <v>-80.571701049804688</v>
      </c>
      <c r="Q358">
        <v>637</v>
      </c>
    </row>
    <row r="359" spans="1:17" x14ac:dyDescent="0.25">
      <c r="A359">
        <v>348</v>
      </c>
      <c r="B359" t="str">
        <f t="shared" si="5"/>
        <v>Cambutal</v>
      </c>
      <c r="C359">
        <v>7</v>
      </c>
      <c r="D359" t="s">
        <v>374</v>
      </c>
      <c r="E359">
        <v>7.5865201950073242</v>
      </c>
      <c r="F359">
        <v>-80.392501831054688</v>
      </c>
      <c r="G359">
        <v>89592</v>
      </c>
      <c r="H359">
        <v>707</v>
      </c>
      <c r="I359" t="s">
        <v>439</v>
      </c>
      <c r="J359">
        <v>7.4139499664306641</v>
      </c>
      <c r="K359">
        <v>-80.505699157714844</v>
      </c>
      <c r="L359">
        <v>9787</v>
      </c>
      <c r="M359">
        <v>70710</v>
      </c>
      <c r="N359" t="s">
        <v>449</v>
      </c>
      <c r="O359">
        <v>7.2905697822570801</v>
      </c>
      <c r="P359">
        <v>-80.564498901367188</v>
      </c>
      <c r="Q359">
        <v>511</v>
      </c>
    </row>
    <row r="360" spans="1:17" x14ac:dyDescent="0.25">
      <c r="A360">
        <v>349</v>
      </c>
      <c r="B360" t="str">
        <f t="shared" si="5"/>
        <v>Isla de Cañas</v>
      </c>
      <c r="C360">
        <v>7</v>
      </c>
      <c r="D360" t="s">
        <v>374</v>
      </c>
      <c r="E360">
        <v>7.5865201950073242</v>
      </c>
      <c r="F360">
        <v>-80.392501831054688</v>
      </c>
      <c r="G360">
        <v>89592</v>
      </c>
      <c r="H360">
        <v>707</v>
      </c>
      <c r="I360" t="s">
        <v>439</v>
      </c>
      <c r="J360">
        <v>7.4139499664306641</v>
      </c>
      <c r="K360">
        <v>-80.505699157714844</v>
      </c>
      <c r="L360">
        <v>9787</v>
      </c>
      <c r="M360">
        <v>70711</v>
      </c>
      <c r="N360" t="s">
        <v>450</v>
      </c>
      <c r="O360">
        <v>7.416719913482666</v>
      </c>
      <c r="P360">
        <v>-80.328201293945313</v>
      </c>
      <c r="Q360">
        <v>397</v>
      </c>
    </row>
    <row r="361" spans="1:17" x14ac:dyDescent="0.25">
      <c r="A361">
        <v>350</v>
      </c>
      <c r="B361" t="str">
        <f t="shared" si="5"/>
        <v>San Miguel (Cabecera)</v>
      </c>
      <c r="C361">
        <v>8</v>
      </c>
      <c r="D361" t="s">
        <v>451</v>
      </c>
      <c r="E361">
        <v>9.0696096420288086</v>
      </c>
      <c r="F361">
        <v>-78.849601745605469</v>
      </c>
      <c r="G361">
        <v>1713070</v>
      </c>
      <c r="H361">
        <v>802</v>
      </c>
      <c r="I361" t="s">
        <v>452</v>
      </c>
      <c r="J361">
        <v>8.3701801300048828</v>
      </c>
      <c r="K361">
        <v>-78.950599670410156</v>
      </c>
      <c r="L361">
        <v>2721</v>
      </c>
      <c r="M361">
        <v>80201</v>
      </c>
      <c r="N361" t="s">
        <v>453</v>
      </c>
      <c r="O361">
        <v>8.4268703460693359</v>
      </c>
      <c r="P361">
        <v>-78.925697326660156</v>
      </c>
      <c r="Q361">
        <v>1044</v>
      </c>
    </row>
    <row r="362" spans="1:17" x14ac:dyDescent="0.25">
      <c r="A362">
        <v>351</v>
      </c>
      <c r="B362" t="str">
        <f t="shared" si="5"/>
        <v>La Ensenada</v>
      </c>
      <c r="C362">
        <v>8</v>
      </c>
      <c r="D362" t="s">
        <v>451</v>
      </c>
      <c r="E362">
        <v>9.0696096420288086</v>
      </c>
      <c r="F362">
        <v>-78.849601745605469</v>
      </c>
      <c r="G362">
        <v>1713070</v>
      </c>
      <c r="H362">
        <v>802</v>
      </c>
      <c r="I362" t="s">
        <v>452</v>
      </c>
      <c r="J362">
        <v>8.3701801300048828</v>
      </c>
      <c r="K362">
        <v>-78.950599670410156</v>
      </c>
      <c r="L362">
        <v>2721</v>
      </c>
      <c r="M362">
        <v>80202</v>
      </c>
      <c r="N362" t="s">
        <v>454</v>
      </c>
      <c r="O362">
        <v>8.3507699966430664</v>
      </c>
      <c r="P362">
        <v>-78.871299743652344</v>
      </c>
      <c r="Q362">
        <v>94</v>
      </c>
    </row>
    <row r="363" spans="1:17" x14ac:dyDescent="0.25">
      <c r="A363">
        <v>352</v>
      </c>
      <c r="B363" t="str">
        <f t="shared" si="5"/>
        <v>La Esmeralda</v>
      </c>
      <c r="C363">
        <v>8</v>
      </c>
      <c r="D363" t="s">
        <v>451</v>
      </c>
      <c r="E363">
        <v>9.0696096420288086</v>
      </c>
      <c r="F363">
        <v>-78.849601745605469</v>
      </c>
      <c r="G363">
        <v>1713070</v>
      </c>
      <c r="H363">
        <v>802</v>
      </c>
      <c r="I363" t="s">
        <v>452</v>
      </c>
      <c r="J363">
        <v>8.3701801300048828</v>
      </c>
      <c r="K363">
        <v>-78.950599670410156</v>
      </c>
      <c r="L363">
        <v>2721</v>
      </c>
      <c r="M363">
        <v>80203</v>
      </c>
      <c r="N363" t="s">
        <v>455</v>
      </c>
      <c r="O363">
        <v>8.2937698364257813</v>
      </c>
      <c r="P363">
        <v>-78.91729736328125</v>
      </c>
      <c r="Q363">
        <v>524</v>
      </c>
    </row>
    <row r="364" spans="1:17" x14ac:dyDescent="0.25">
      <c r="A364">
        <v>353</v>
      </c>
      <c r="B364" t="str">
        <f t="shared" si="5"/>
        <v>La Guinea</v>
      </c>
      <c r="C364">
        <v>8</v>
      </c>
      <c r="D364" t="s">
        <v>451</v>
      </c>
      <c r="E364">
        <v>9.0696096420288086</v>
      </c>
      <c r="F364">
        <v>-78.849601745605469</v>
      </c>
      <c r="G364">
        <v>1713070</v>
      </c>
      <c r="H364">
        <v>802</v>
      </c>
      <c r="I364" t="s">
        <v>452</v>
      </c>
      <c r="J364">
        <v>8.3701801300048828</v>
      </c>
      <c r="K364">
        <v>-78.950599670410156</v>
      </c>
      <c r="L364">
        <v>2721</v>
      </c>
      <c r="M364">
        <v>80204</v>
      </c>
      <c r="N364" t="s">
        <v>456</v>
      </c>
      <c r="O364">
        <v>8.3427000045776367</v>
      </c>
      <c r="P364">
        <v>-78.93609619140625</v>
      </c>
      <c r="Q364">
        <v>83</v>
      </c>
    </row>
    <row r="365" spans="1:17" x14ac:dyDescent="0.25">
      <c r="A365">
        <v>354</v>
      </c>
      <c r="B365" t="str">
        <f t="shared" si="5"/>
        <v>Pedro González</v>
      </c>
      <c r="C365">
        <v>8</v>
      </c>
      <c r="D365" t="s">
        <v>451</v>
      </c>
      <c r="E365">
        <v>9.0696096420288086</v>
      </c>
      <c r="F365">
        <v>-78.849601745605469</v>
      </c>
      <c r="G365">
        <v>1713070</v>
      </c>
      <c r="H365">
        <v>802</v>
      </c>
      <c r="I365" t="s">
        <v>452</v>
      </c>
      <c r="J365">
        <v>8.3701801300048828</v>
      </c>
      <c r="K365">
        <v>-78.950599670410156</v>
      </c>
      <c r="L365">
        <v>2721</v>
      </c>
      <c r="M365">
        <v>80205</v>
      </c>
      <c r="N365" t="s">
        <v>457</v>
      </c>
      <c r="O365">
        <v>8.3002395629882813</v>
      </c>
      <c r="P365">
        <v>-79.109397888183594</v>
      </c>
      <c r="Q365">
        <v>263</v>
      </c>
    </row>
    <row r="366" spans="1:17" x14ac:dyDescent="0.25">
      <c r="A366">
        <v>355</v>
      </c>
      <c r="B366" t="str">
        <f t="shared" si="5"/>
        <v>Saboga</v>
      </c>
      <c r="C366">
        <v>8</v>
      </c>
      <c r="D366" t="s">
        <v>451</v>
      </c>
      <c r="E366">
        <v>9.0696096420288086</v>
      </c>
      <c r="F366">
        <v>-78.849601745605469</v>
      </c>
      <c r="G366">
        <v>1713070</v>
      </c>
      <c r="H366">
        <v>802</v>
      </c>
      <c r="I366" t="s">
        <v>452</v>
      </c>
      <c r="J366">
        <v>8.3701801300048828</v>
      </c>
      <c r="K366">
        <v>-78.950599670410156</v>
      </c>
      <c r="L366">
        <v>2721</v>
      </c>
      <c r="M366">
        <v>80206</v>
      </c>
      <c r="N366" t="s">
        <v>458</v>
      </c>
      <c r="O366">
        <v>8.6138496398925781</v>
      </c>
      <c r="P366">
        <v>-79.045097351074219</v>
      </c>
      <c r="Q366">
        <v>713</v>
      </c>
    </row>
    <row r="367" spans="1:17" x14ac:dyDescent="0.25">
      <c r="A367">
        <v>356</v>
      </c>
      <c r="B367" t="str">
        <f t="shared" si="5"/>
        <v>Chepo (Cabecera</v>
      </c>
      <c r="C367">
        <v>8</v>
      </c>
      <c r="D367" t="s">
        <v>451</v>
      </c>
      <c r="E367">
        <v>9.0696096420288086</v>
      </c>
      <c r="F367">
        <v>-78.849601745605469</v>
      </c>
      <c r="G367">
        <v>1713070</v>
      </c>
      <c r="H367">
        <v>805</v>
      </c>
      <c r="I367" t="s">
        <v>330</v>
      </c>
      <c r="J367">
        <v>9.1157302856445313</v>
      </c>
      <c r="K367">
        <v>-78.649398803710938</v>
      </c>
      <c r="L367">
        <v>46139</v>
      </c>
      <c r="M367">
        <v>80501</v>
      </c>
      <c r="N367" t="s">
        <v>459</v>
      </c>
      <c r="O367">
        <v>9.1433296203613281</v>
      </c>
      <c r="P367">
        <v>-79.077102661132813</v>
      </c>
      <c r="Q367">
        <v>20420</v>
      </c>
    </row>
    <row r="368" spans="1:17" x14ac:dyDescent="0.25">
      <c r="A368">
        <v>357</v>
      </c>
      <c r="B368" t="str">
        <f t="shared" si="5"/>
        <v>Cañita</v>
      </c>
      <c r="C368">
        <v>8</v>
      </c>
      <c r="D368" t="s">
        <v>451</v>
      </c>
      <c r="E368">
        <v>9.0696096420288086</v>
      </c>
      <c r="F368">
        <v>-78.849601745605469</v>
      </c>
      <c r="G368">
        <v>1713070</v>
      </c>
      <c r="H368">
        <v>805</v>
      </c>
      <c r="I368" t="s">
        <v>330</v>
      </c>
      <c r="J368">
        <v>9.1157302856445313</v>
      </c>
      <c r="K368">
        <v>-78.649398803710938</v>
      </c>
      <c r="L368">
        <v>46139</v>
      </c>
      <c r="M368">
        <v>80502</v>
      </c>
      <c r="N368" t="s">
        <v>460</v>
      </c>
      <c r="O368">
        <v>9.2975502014160156</v>
      </c>
      <c r="P368">
        <v>-78.830001831054688</v>
      </c>
      <c r="Q368">
        <v>2514</v>
      </c>
    </row>
    <row r="369" spans="1:17" x14ac:dyDescent="0.25">
      <c r="A369">
        <v>358</v>
      </c>
      <c r="B369" t="str">
        <f t="shared" si="5"/>
        <v>El Llano</v>
      </c>
      <c r="C369">
        <v>8</v>
      </c>
      <c r="D369" t="s">
        <v>451</v>
      </c>
      <c r="E369">
        <v>9.0696096420288086</v>
      </c>
      <c r="F369">
        <v>-78.849601745605469</v>
      </c>
      <c r="G369">
        <v>1713070</v>
      </c>
      <c r="H369">
        <v>805</v>
      </c>
      <c r="I369" t="s">
        <v>330</v>
      </c>
      <c r="J369">
        <v>9.1157302856445313</v>
      </c>
      <c r="K369">
        <v>-78.649398803710938</v>
      </c>
      <c r="L369">
        <v>46139</v>
      </c>
      <c r="M369">
        <v>80504</v>
      </c>
      <c r="N369" t="s">
        <v>461</v>
      </c>
      <c r="O369">
        <v>9.1451797485351563</v>
      </c>
      <c r="P369">
        <v>-78.898300170898438</v>
      </c>
      <c r="Q369">
        <v>2819</v>
      </c>
    </row>
    <row r="370" spans="1:17" x14ac:dyDescent="0.25">
      <c r="A370">
        <v>359</v>
      </c>
      <c r="B370" t="str">
        <f t="shared" si="5"/>
        <v>El Llano</v>
      </c>
      <c r="C370">
        <v>8</v>
      </c>
      <c r="D370" t="s">
        <v>451</v>
      </c>
      <c r="E370">
        <v>9.0696096420288086</v>
      </c>
      <c r="F370">
        <v>-78.849601745605469</v>
      </c>
      <c r="G370">
        <v>1713070</v>
      </c>
      <c r="H370">
        <v>805</v>
      </c>
      <c r="I370" t="s">
        <v>330</v>
      </c>
      <c r="J370">
        <v>9.1157302856445313</v>
      </c>
      <c r="K370">
        <v>-78.649398803710938</v>
      </c>
      <c r="L370">
        <v>46139</v>
      </c>
      <c r="M370">
        <v>80504</v>
      </c>
      <c r="N370" t="s">
        <v>461</v>
      </c>
      <c r="O370">
        <v>9.1351404190063477</v>
      </c>
      <c r="P370">
        <v>-78.831497192382813</v>
      </c>
      <c r="Q370">
        <v>2819</v>
      </c>
    </row>
    <row r="371" spans="1:17" x14ac:dyDescent="0.25">
      <c r="A371">
        <v>360</v>
      </c>
      <c r="B371" t="str">
        <f t="shared" si="5"/>
        <v>Las Margaritas</v>
      </c>
      <c r="C371">
        <v>8</v>
      </c>
      <c r="D371" t="s">
        <v>451</v>
      </c>
      <c r="E371">
        <v>9.0696096420288086</v>
      </c>
      <c r="F371">
        <v>-78.849601745605469</v>
      </c>
      <c r="G371">
        <v>1713070</v>
      </c>
      <c r="H371">
        <v>805</v>
      </c>
      <c r="I371" t="s">
        <v>330</v>
      </c>
      <c r="J371">
        <v>9.1157302856445313</v>
      </c>
      <c r="K371">
        <v>-78.649398803710938</v>
      </c>
      <c r="L371">
        <v>46139</v>
      </c>
      <c r="M371">
        <v>80505</v>
      </c>
      <c r="N371" t="s">
        <v>462</v>
      </c>
      <c r="O371">
        <v>9.2715301513671875</v>
      </c>
      <c r="P371">
        <v>-79.136802673339844</v>
      </c>
      <c r="Q371">
        <v>4991</v>
      </c>
    </row>
    <row r="372" spans="1:17" x14ac:dyDescent="0.25">
      <c r="A372">
        <v>361</v>
      </c>
      <c r="B372" t="str">
        <f t="shared" si="5"/>
        <v>Chepillo</v>
      </c>
      <c r="C372">
        <v>8</v>
      </c>
      <c r="D372" t="s">
        <v>451</v>
      </c>
      <c r="E372">
        <v>9.0696096420288086</v>
      </c>
      <c r="F372">
        <v>-78.849601745605469</v>
      </c>
      <c r="G372">
        <v>1713070</v>
      </c>
      <c r="H372">
        <v>805</v>
      </c>
      <c r="I372" t="s">
        <v>330</v>
      </c>
      <c r="J372">
        <v>9.1157302856445313</v>
      </c>
      <c r="K372">
        <v>-78.649398803710938</v>
      </c>
      <c r="L372">
        <v>46139</v>
      </c>
      <c r="M372">
        <v>80506</v>
      </c>
      <c r="N372" t="s">
        <v>463</v>
      </c>
      <c r="O372">
        <v>8.9514503479003906</v>
      </c>
      <c r="P372">
        <v>-79.129302978515625</v>
      </c>
      <c r="Q372">
        <v>1572</v>
      </c>
    </row>
    <row r="373" spans="1:17" x14ac:dyDescent="0.25">
      <c r="A373">
        <v>362</v>
      </c>
      <c r="B373" t="str">
        <f t="shared" si="5"/>
        <v>Santa Cruz de Chinina</v>
      </c>
      <c r="C373">
        <v>8</v>
      </c>
      <c r="D373" t="s">
        <v>451</v>
      </c>
      <c r="E373">
        <v>9.0696096420288086</v>
      </c>
      <c r="F373">
        <v>-78.849601745605469</v>
      </c>
      <c r="G373">
        <v>1713070</v>
      </c>
      <c r="H373">
        <v>805</v>
      </c>
      <c r="I373" t="s">
        <v>330</v>
      </c>
      <c r="J373">
        <v>9.1157302856445313</v>
      </c>
      <c r="K373">
        <v>-78.649398803710938</v>
      </c>
      <c r="L373">
        <v>46139</v>
      </c>
      <c r="M373">
        <v>80506</v>
      </c>
      <c r="N373" t="s">
        <v>464</v>
      </c>
      <c r="O373">
        <v>9.0108404159545898</v>
      </c>
      <c r="P373">
        <v>-78.991500854492188</v>
      </c>
      <c r="Q373">
        <v>1572</v>
      </c>
    </row>
    <row r="374" spans="1:17" x14ac:dyDescent="0.25">
      <c r="A374">
        <v>363</v>
      </c>
      <c r="B374" t="str">
        <f t="shared" si="5"/>
        <v>Comarca Kuna de Madugandi</v>
      </c>
      <c r="C374">
        <v>8</v>
      </c>
      <c r="D374" t="s">
        <v>451</v>
      </c>
      <c r="E374">
        <v>9.0696096420288086</v>
      </c>
      <c r="F374">
        <v>-78.849601745605469</v>
      </c>
      <c r="G374">
        <v>1713070</v>
      </c>
      <c r="H374">
        <v>805</v>
      </c>
      <c r="I374" t="s">
        <v>330</v>
      </c>
      <c r="J374">
        <v>9.1157302856445313</v>
      </c>
      <c r="K374">
        <v>-78.649398803710938</v>
      </c>
      <c r="L374">
        <v>46139</v>
      </c>
      <c r="M374">
        <v>80507</v>
      </c>
      <c r="N374" t="s">
        <v>465</v>
      </c>
      <c r="O374">
        <v>9.1470403671264648</v>
      </c>
      <c r="P374">
        <v>-78.422698974609375</v>
      </c>
      <c r="Q374">
        <v>4271</v>
      </c>
    </row>
    <row r="375" spans="1:17" x14ac:dyDescent="0.25">
      <c r="A375">
        <v>364</v>
      </c>
      <c r="B375" t="str">
        <f t="shared" si="5"/>
        <v>Comarca Kuna de Madugandi</v>
      </c>
      <c r="C375">
        <v>8</v>
      </c>
      <c r="D375" t="s">
        <v>451</v>
      </c>
      <c r="E375">
        <v>9.0696096420288086</v>
      </c>
      <c r="F375">
        <v>-78.849601745605469</v>
      </c>
      <c r="G375">
        <v>1713070</v>
      </c>
      <c r="H375">
        <v>805</v>
      </c>
      <c r="I375" t="s">
        <v>330</v>
      </c>
      <c r="J375">
        <v>9.1157302856445313</v>
      </c>
      <c r="K375">
        <v>-78.649398803710938</v>
      </c>
      <c r="L375">
        <v>46139</v>
      </c>
      <c r="M375">
        <v>80507</v>
      </c>
      <c r="N375" t="s">
        <v>465</v>
      </c>
      <c r="O375">
        <v>9.1381597518920898</v>
      </c>
      <c r="P375">
        <v>-78.674896240234375</v>
      </c>
      <c r="Q375">
        <v>4271</v>
      </c>
    </row>
    <row r="376" spans="1:17" x14ac:dyDescent="0.25">
      <c r="A376">
        <v>365</v>
      </c>
      <c r="B376" t="str">
        <f t="shared" si="5"/>
        <v>Tortí</v>
      </c>
      <c r="C376">
        <v>8</v>
      </c>
      <c r="D376" t="s">
        <v>451</v>
      </c>
      <c r="E376">
        <v>9.0696096420288086</v>
      </c>
      <c r="F376">
        <v>-78.849601745605469</v>
      </c>
      <c r="G376">
        <v>1713070</v>
      </c>
      <c r="H376">
        <v>805</v>
      </c>
      <c r="I376" t="s">
        <v>330</v>
      </c>
      <c r="J376">
        <v>9.1157302856445313</v>
      </c>
      <c r="K376">
        <v>-78.649398803710938</v>
      </c>
      <c r="L376">
        <v>46139</v>
      </c>
      <c r="M376">
        <v>80508</v>
      </c>
      <c r="N376" t="s">
        <v>466</v>
      </c>
      <c r="O376">
        <v>8.9458198547363281</v>
      </c>
      <c r="P376">
        <v>-78.501899719238281</v>
      </c>
      <c r="Q376">
        <v>9297</v>
      </c>
    </row>
    <row r="377" spans="1:17" x14ac:dyDescent="0.25">
      <c r="A377">
        <v>366</v>
      </c>
      <c r="B377" t="str">
        <f t="shared" si="5"/>
        <v>Chimán (Cabecera)</v>
      </c>
      <c r="C377">
        <v>8</v>
      </c>
      <c r="D377" t="s">
        <v>451</v>
      </c>
      <c r="E377">
        <v>9.0696096420288086</v>
      </c>
      <c r="F377">
        <v>-78.849601745605469</v>
      </c>
      <c r="G377">
        <v>1713070</v>
      </c>
      <c r="H377">
        <v>806</v>
      </c>
      <c r="I377" t="s">
        <v>467</v>
      </c>
      <c r="J377">
        <v>8.7755403518676758</v>
      </c>
      <c r="K377">
        <v>-78.645599365234375</v>
      </c>
      <c r="L377">
        <v>3343</v>
      </c>
      <c r="M377">
        <v>80601</v>
      </c>
      <c r="N377" t="s">
        <v>468</v>
      </c>
      <c r="O377">
        <v>8.7515096664428711</v>
      </c>
      <c r="P377">
        <v>-78.560203552246094</v>
      </c>
      <c r="Q377">
        <v>1205</v>
      </c>
    </row>
    <row r="378" spans="1:17" x14ac:dyDescent="0.25">
      <c r="A378">
        <v>367</v>
      </c>
      <c r="B378" t="str">
        <f t="shared" si="5"/>
        <v>Brujas</v>
      </c>
      <c r="C378">
        <v>8</v>
      </c>
      <c r="D378" t="s">
        <v>451</v>
      </c>
      <c r="E378">
        <v>9.0696096420288086</v>
      </c>
      <c r="F378">
        <v>-78.849601745605469</v>
      </c>
      <c r="G378">
        <v>1713070</v>
      </c>
      <c r="H378">
        <v>806</v>
      </c>
      <c r="I378" t="s">
        <v>467</v>
      </c>
      <c r="J378">
        <v>8.7755403518676758</v>
      </c>
      <c r="K378">
        <v>-78.645599365234375</v>
      </c>
      <c r="L378">
        <v>3343</v>
      </c>
      <c r="M378">
        <v>80602</v>
      </c>
      <c r="N378" t="s">
        <v>469</v>
      </c>
      <c r="O378">
        <v>8.5859804153442383</v>
      </c>
      <c r="P378">
        <v>-78.500999450683594</v>
      </c>
      <c r="Q378">
        <v>688</v>
      </c>
    </row>
    <row r="379" spans="1:17" x14ac:dyDescent="0.25">
      <c r="A379">
        <v>368</v>
      </c>
      <c r="B379" t="str">
        <f t="shared" si="5"/>
        <v>Gonzalo Vásquez</v>
      </c>
      <c r="C379">
        <v>8</v>
      </c>
      <c r="D379" t="s">
        <v>451</v>
      </c>
      <c r="E379">
        <v>9.0696096420288086</v>
      </c>
      <c r="F379">
        <v>-78.849601745605469</v>
      </c>
      <c r="G379">
        <v>1713070</v>
      </c>
      <c r="H379">
        <v>806</v>
      </c>
      <c r="I379" t="s">
        <v>467</v>
      </c>
      <c r="J379">
        <v>8.7755403518676758</v>
      </c>
      <c r="K379">
        <v>-78.645599365234375</v>
      </c>
      <c r="L379">
        <v>3343</v>
      </c>
      <c r="M379">
        <v>80603</v>
      </c>
      <c r="N379" t="s">
        <v>470</v>
      </c>
      <c r="O379">
        <v>8.42510986328125</v>
      </c>
      <c r="P379">
        <v>-78.441703796386719</v>
      </c>
      <c r="Q379">
        <v>91</v>
      </c>
    </row>
    <row r="380" spans="1:17" x14ac:dyDescent="0.25">
      <c r="A380">
        <v>369</v>
      </c>
      <c r="B380" t="str">
        <f t="shared" si="5"/>
        <v>Pásiga</v>
      </c>
      <c r="C380">
        <v>8</v>
      </c>
      <c r="D380" t="s">
        <v>451</v>
      </c>
      <c r="E380">
        <v>9.0696096420288086</v>
      </c>
      <c r="F380">
        <v>-78.849601745605469</v>
      </c>
      <c r="G380">
        <v>1713070</v>
      </c>
      <c r="H380">
        <v>806</v>
      </c>
      <c r="I380" t="s">
        <v>467</v>
      </c>
      <c r="J380">
        <v>8.7755403518676758</v>
      </c>
      <c r="K380">
        <v>-78.645599365234375</v>
      </c>
      <c r="L380">
        <v>3343</v>
      </c>
      <c r="M380">
        <v>80604</v>
      </c>
      <c r="N380" t="s">
        <v>471</v>
      </c>
      <c r="O380">
        <v>8.9014101028442383</v>
      </c>
      <c r="P380">
        <v>-78.825798034667969</v>
      </c>
      <c r="Q380">
        <v>439</v>
      </c>
    </row>
    <row r="381" spans="1:17" x14ac:dyDescent="0.25">
      <c r="A381">
        <v>370</v>
      </c>
      <c r="B381" t="str">
        <f t="shared" si="5"/>
        <v>Unión Santeña</v>
      </c>
      <c r="C381">
        <v>8</v>
      </c>
      <c r="D381" t="s">
        <v>451</v>
      </c>
      <c r="E381">
        <v>9.0696096420288086</v>
      </c>
      <c r="F381">
        <v>-78.849601745605469</v>
      </c>
      <c r="G381">
        <v>1713070</v>
      </c>
      <c r="H381">
        <v>806</v>
      </c>
      <c r="I381" t="s">
        <v>467</v>
      </c>
      <c r="J381">
        <v>8.7755403518676758</v>
      </c>
      <c r="K381">
        <v>-78.645599365234375</v>
      </c>
      <c r="L381">
        <v>3343</v>
      </c>
      <c r="M381">
        <v>80605</v>
      </c>
      <c r="N381" t="s">
        <v>472</v>
      </c>
      <c r="O381">
        <v>8.8402900695800781</v>
      </c>
      <c r="P381">
        <v>-78.683799743652344</v>
      </c>
      <c r="Q381">
        <v>920</v>
      </c>
    </row>
    <row r="382" spans="1:17" x14ac:dyDescent="0.25">
      <c r="A382">
        <v>371</v>
      </c>
      <c r="B382" t="str">
        <f t="shared" si="5"/>
        <v>Brujas</v>
      </c>
      <c r="C382">
        <v>8</v>
      </c>
      <c r="D382" t="s">
        <v>451</v>
      </c>
      <c r="E382">
        <v>9.0696096420288086</v>
      </c>
      <c r="F382">
        <v>-78.849601745605469</v>
      </c>
      <c r="G382">
        <v>1713070</v>
      </c>
      <c r="H382">
        <v>806</v>
      </c>
      <c r="I382" t="s">
        <v>467</v>
      </c>
      <c r="J382">
        <v>8.7755403518676758</v>
      </c>
      <c r="K382">
        <v>-78.645599365234375</v>
      </c>
      <c r="L382">
        <v>3343</v>
      </c>
      <c r="M382">
        <v>80602</v>
      </c>
      <c r="N382" t="s">
        <v>469</v>
      </c>
      <c r="O382">
        <v>8.5817804336547852</v>
      </c>
      <c r="P382">
        <v>-78.510498046875</v>
      </c>
      <c r="Q382">
        <v>688</v>
      </c>
    </row>
    <row r="383" spans="1:17" x14ac:dyDescent="0.25">
      <c r="A383">
        <v>372</v>
      </c>
      <c r="B383" t="str">
        <f t="shared" si="5"/>
        <v>San Felipe</v>
      </c>
      <c r="C383">
        <v>8</v>
      </c>
      <c r="D383" t="s">
        <v>451</v>
      </c>
      <c r="E383">
        <v>9.0696096420288086</v>
      </c>
      <c r="F383">
        <v>-78.849601745605469</v>
      </c>
      <c r="G383">
        <v>1713070</v>
      </c>
      <c r="H383">
        <v>808</v>
      </c>
      <c r="I383" t="s">
        <v>451</v>
      </c>
      <c r="J383">
        <v>9.2068700790405273</v>
      </c>
      <c r="K383">
        <v>-79.422203063964844</v>
      </c>
      <c r="L383">
        <v>880691</v>
      </c>
      <c r="M383">
        <v>80801</v>
      </c>
      <c r="N383" t="s">
        <v>473</v>
      </c>
      <c r="O383">
        <v>8.9525003433227539</v>
      </c>
      <c r="P383">
        <v>-79.535301208496094</v>
      </c>
      <c r="Q383">
        <v>3262</v>
      </c>
    </row>
    <row r="384" spans="1:17" x14ac:dyDescent="0.25">
      <c r="A384">
        <v>373</v>
      </c>
      <c r="B384" t="str">
        <f t="shared" si="5"/>
        <v>El Chorrillo</v>
      </c>
      <c r="C384">
        <v>8</v>
      </c>
      <c r="D384" t="s">
        <v>451</v>
      </c>
      <c r="E384">
        <v>9.0696096420288086</v>
      </c>
      <c r="F384">
        <v>-78.849601745605469</v>
      </c>
      <c r="G384">
        <v>1713070</v>
      </c>
      <c r="H384">
        <v>808</v>
      </c>
      <c r="I384" t="s">
        <v>451</v>
      </c>
      <c r="J384">
        <v>9.2068700790405273</v>
      </c>
      <c r="K384">
        <v>-79.422203063964844</v>
      </c>
      <c r="L384">
        <v>880691</v>
      </c>
      <c r="M384">
        <v>80802</v>
      </c>
      <c r="N384" t="s">
        <v>474</v>
      </c>
      <c r="O384">
        <v>8.9502201080322266</v>
      </c>
      <c r="P384">
        <v>-79.544502258300781</v>
      </c>
      <c r="Q384">
        <v>18302</v>
      </c>
    </row>
    <row r="385" spans="1:17" x14ac:dyDescent="0.25">
      <c r="A385">
        <v>374</v>
      </c>
      <c r="B385" t="str">
        <f t="shared" si="5"/>
        <v>Santa Ana</v>
      </c>
      <c r="C385">
        <v>8</v>
      </c>
      <c r="D385" t="s">
        <v>451</v>
      </c>
      <c r="E385">
        <v>9.0696096420288086</v>
      </c>
      <c r="F385">
        <v>-78.849601745605469</v>
      </c>
      <c r="G385">
        <v>1713070</v>
      </c>
      <c r="H385">
        <v>808</v>
      </c>
      <c r="I385" t="s">
        <v>451</v>
      </c>
      <c r="J385">
        <v>9.2068700790405273</v>
      </c>
      <c r="K385">
        <v>-79.422203063964844</v>
      </c>
      <c r="L385">
        <v>880691</v>
      </c>
      <c r="M385">
        <v>80803</v>
      </c>
      <c r="N385" t="s">
        <v>414</v>
      </c>
      <c r="O385">
        <v>8.9563302993774414</v>
      </c>
      <c r="P385">
        <v>-79.541297912597656</v>
      </c>
      <c r="Q385">
        <v>18210</v>
      </c>
    </row>
    <row r="386" spans="1:17" x14ac:dyDescent="0.25">
      <c r="A386">
        <v>375</v>
      </c>
      <c r="B386" t="str">
        <f t="shared" si="5"/>
        <v>La Exposición o Calidonia</v>
      </c>
      <c r="C386">
        <v>8</v>
      </c>
      <c r="D386" t="s">
        <v>451</v>
      </c>
      <c r="E386">
        <v>9.0696096420288086</v>
      </c>
      <c r="F386">
        <v>-78.849601745605469</v>
      </c>
      <c r="G386">
        <v>1713070</v>
      </c>
      <c r="H386">
        <v>808</v>
      </c>
      <c r="I386" t="s">
        <v>451</v>
      </c>
      <c r="J386">
        <v>9.2068700790405273</v>
      </c>
      <c r="K386">
        <v>-79.422203063964844</v>
      </c>
      <c r="L386">
        <v>880691</v>
      </c>
      <c r="M386">
        <v>80804</v>
      </c>
      <c r="N386" t="s">
        <v>475</v>
      </c>
      <c r="O386">
        <v>8.9686203002929688</v>
      </c>
      <c r="P386">
        <v>-79.535896301269531</v>
      </c>
      <c r="Q386">
        <v>19108</v>
      </c>
    </row>
    <row r="387" spans="1:17" x14ac:dyDescent="0.25">
      <c r="A387">
        <v>376</v>
      </c>
      <c r="B387" t="str">
        <f t="shared" si="5"/>
        <v>Curundú</v>
      </c>
      <c r="C387">
        <v>8</v>
      </c>
      <c r="D387" t="s">
        <v>451</v>
      </c>
      <c r="E387">
        <v>9.0696096420288086</v>
      </c>
      <c r="F387">
        <v>-78.849601745605469</v>
      </c>
      <c r="G387">
        <v>1713070</v>
      </c>
      <c r="H387">
        <v>808</v>
      </c>
      <c r="I387" t="s">
        <v>451</v>
      </c>
      <c r="J387">
        <v>9.2068700790405273</v>
      </c>
      <c r="K387">
        <v>-79.422203063964844</v>
      </c>
      <c r="L387">
        <v>880691</v>
      </c>
      <c r="M387">
        <v>80805</v>
      </c>
      <c r="N387" t="s">
        <v>476</v>
      </c>
      <c r="O387">
        <v>8.9787998199462891</v>
      </c>
      <c r="P387">
        <v>-79.539398193359375</v>
      </c>
      <c r="Q387">
        <v>16361</v>
      </c>
    </row>
    <row r="388" spans="1:17" x14ac:dyDescent="0.25">
      <c r="A388">
        <v>377</v>
      </c>
      <c r="B388" t="str">
        <f t="shared" si="5"/>
        <v>Betania</v>
      </c>
      <c r="C388">
        <v>8</v>
      </c>
      <c r="D388" t="s">
        <v>451</v>
      </c>
      <c r="E388">
        <v>9.0696096420288086</v>
      </c>
      <c r="F388">
        <v>-78.849601745605469</v>
      </c>
      <c r="G388">
        <v>1713070</v>
      </c>
      <c r="H388">
        <v>808</v>
      </c>
      <c r="I388" t="s">
        <v>451</v>
      </c>
      <c r="J388">
        <v>9.2068700790405273</v>
      </c>
      <c r="K388">
        <v>-79.422203063964844</v>
      </c>
      <c r="L388">
        <v>880691</v>
      </c>
      <c r="M388">
        <v>80806</v>
      </c>
      <c r="N388" t="s">
        <v>477</v>
      </c>
      <c r="O388">
        <v>9.0120296478271484</v>
      </c>
      <c r="P388">
        <v>-79.527801513671875</v>
      </c>
      <c r="Q388">
        <v>46116</v>
      </c>
    </row>
    <row r="389" spans="1:17" x14ac:dyDescent="0.25">
      <c r="A389">
        <v>378</v>
      </c>
      <c r="B389" t="str">
        <f t="shared" si="5"/>
        <v>Bella Vista</v>
      </c>
      <c r="C389">
        <v>8</v>
      </c>
      <c r="D389" t="s">
        <v>451</v>
      </c>
      <c r="E389">
        <v>9.0696096420288086</v>
      </c>
      <c r="F389">
        <v>-78.849601745605469</v>
      </c>
      <c r="G389">
        <v>1713070</v>
      </c>
      <c r="H389">
        <v>808</v>
      </c>
      <c r="I389" t="s">
        <v>451</v>
      </c>
      <c r="J389">
        <v>9.2068700790405273</v>
      </c>
      <c r="K389">
        <v>-79.422203063964844</v>
      </c>
      <c r="L389">
        <v>880691</v>
      </c>
      <c r="M389">
        <v>80807</v>
      </c>
      <c r="N389" t="s">
        <v>294</v>
      </c>
      <c r="O389">
        <v>8.9848899841308594</v>
      </c>
      <c r="P389">
        <v>-79.525299072265625</v>
      </c>
      <c r="Q389">
        <v>30136</v>
      </c>
    </row>
    <row r="390" spans="1:17" x14ac:dyDescent="0.25">
      <c r="A390">
        <v>379</v>
      </c>
      <c r="B390" t="str">
        <f t="shared" si="5"/>
        <v>Pueblo Nuevo</v>
      </c>
      <c r="C390">
        <v>8</v>
      </c>
      <c r="D390" t="s">
        <v>451</v>
      </c>
      <c r="E390">
        <v>9.0696096420288086</v>
      </c>
      <c r="F390">
        <v>-78.849601745605469</v>
      </c>
      <c r="G390">
        <v>1713070</v>
      </c>
      <c r="H390">
        <v>808</v>
      </c>
      <c r="I390" t="s">
        <v>451</v>
      </c>
      <c r="J390">
        <v>9.2068700790405273</v>
      </c>
      <c r="K390">
        <v>-79.422203063964844</v>
      </c>
      <c r="L390">
        <v>880691</v>
      </c>
      <c r="M390">
        <v>80808</v>
      </c>
      <c r="N390" t="s">
        <v>478</v>
      </c>
      <c r="O390">
        <v>9.0117101669311523</v>
      </c>
      <c r="P390">
        <v>-79.513801574707031</v>
      </c>
      <c r="Q390">
        <v>18984</v>
      </c>
    </row>
    <row r="391" spans="1:17" x14ac:dyDescent="0.25">
      <c r="A391">
        <v>380</v>
      </c>
      <c r="B391" t="str">
        <f t="shared" si="5"/>
        <v>San Francisco</v>
      </c>
      <c r="C391">
        <v>8</v>
      </c>
      <c r="D391" t="s">
        <v>451</v>
      </c>
      <c r="E391">
        <v>9.0696096420288086</v>
      </c>
      <c r="F391">
        <v>-78.849601745605469</v>
      </c>
      <c r="G391">
        <v>1713070</v>
      </c>
      <c r="H391">
        <v>808</v>
      </c>
      <c r="I391" t="s">
        <v>451</v>
      </c>
      <c r="J391">
        <v>9.2068700790405273</v>
      </c>
      <c r="K391">
        <v>-79.422203063964844</v>
      </c>
      <c r="L391">
        <v>880691</v>
      </c>
      <c r="M391">
        <v>80809</v>
      </c>
      <c r="N391" t="s">
        <v>479</v>
      </c>
      <c r="O391">
        <v>8.9909801483154297</v>
      </c>
      <c r="P391">
        <v>-79.507896423339844</v>
      </c>
      <c r="Q391">
        <v>43939</v>
      </c>
    </row>
    <row r="392" spans="1:17" x14ac:dyDescent="0.25">
      <c r="A392">
        <v>381</v>
      </c>
      <c r="B392" t="str">
        <f t="shared" si="5"/>
        <v>Parque Lefevre</v>
      </c>
      <c r="C392">
        <v>8</v>
      </c>
      <c r="D392" t="s">
        <v>451</v>
      </c>
      <c r="E392">
        <v>9.0696096420288086</v>
      </c>
      <c r="F392">
        <v>-78.849601745605469</v>
      </c>
      <c r="G392">
        <v>1713070</v>
      </c>
      <c r="H392">
        <v>808</v>
      </c>
      <c r="I392" t="s">
        <v>451</v>
      </c>
      <c r="J392">
        <v>9.2068700790405273</v>
      </c>
      <c r="K392">
        <v>-79.422203063964844</v>
      </c>
      <c r="L392">
        <v>880691</v>
      </c>
      <c r="M392">
        <v>80810</v>
      </c>
      <c r="N392" t="s">
        <v>480</v>
      </c>
      <c r="O392">
        <v>9.013890266418457</v>
      </c>
      <c r="P392">
        <v>-79.485603332519531</v>
      </c>
      <c r="Q392">
        <v>36997</v>
      </c>
    </row>
    <row r="393" spans="1:17" x14ac:dyDescent="0.25">
      <c r="A393">
        <v>382</v>
      </c>
      <c r="B393" t="str">
        <f t="shared" si="5"/>
        <v>Río Abajo</v>
      </c>
      <c r="C393">
        <v>8</v>
      </c>
      <c r="D393" t="s">
        <v>451</v>
      </c>
      <c r="E393">
        <v>9.0696096420288086</v>
      </c>
      <c r="F393">
        <v>-78.849601745605469</v>
      </c>
      <c r="G393">
        <v>1713070</v>
      </c>
      <c r="H393">
        <v>808</v>
      </c>
      <c r="I393" t="s">
        <v>451</v>
      </c>
      <c r="J393">
        <v>9.2068700790405273</v>
      </c>
      <c r="K393">
        <v>-79.422203063964844</v>
      </c>
      <c r="L393">
        <v>880691</v>
      </c>
      <c r="M393">
        <v>80811</v>
      </c>
      <c r="N393" t="s">
        <v>481</v>
      </c>
      <c r="O393">
        <v>9.0239496231079102</v>
      </c>
      <c r="P393">
        <v>-79.493598937988281</v>
      </c>
      <c r="Q393">
        <v>26607</v>
      </c>
    </row>
    <row r="394" spans="1:17" x14ac:dyDescent="0.25">
      <c r="A394">
        <v>383</v>
      </c>
      <c r="B394" t="str">
        <f t="shared" si="5"/>
        <v>Juan Díaz</v>
      </c>
      <c r="C394">
        <v>8</v>
      </c>
      <c r="D394" t="s">
        <v>451</v>
      </c>
      <c r="E394">
        <v>9.0696096420288086</v>
      </c>
      <c r="F394">
        <v>-78.849601745605469</v>
      </c>
      <c r="G394">
        <v>1713070</v>
      </c>
      <c r="H394">
        <v>808</v>
      </c>
      <c r="I394" t="s">
        <v>451</v>
      </c>
      <c r="J394">
        <v>9.2068700790405273</v>
      </c>
      <c r="K394">
        <v>-79.422203063964844</v>
      </c>
      <c r="L394">
        <v>880691</v>
      </c>
      <c r="M394">
        <v>80812</v>
      </c>
      <c r="N394" t="s">
        <v>129</v>
      </c>
      <c r="O394">
        <v>9.0325002670288086</v>
      </c>
      <c r="P394">
        <v>-79.452102661132813</v>
      </c>
      <c r="Q394">
        <v>100636</v>
      </c>
    </row>
    <row r="395" spans="1:17" x14ac:dyDescent="0.25">
      <c r="A395">
        <v>384</v>
      </c>
      <c r="B395" t="str">
        <f t="shared" si="5"/>
        <v>Pedregal</v>
      </c>
      <c r="C395">
        <v>8</v>
      </c>
      <c r="D395" t="s">
        <v>451</v>
      </c>
      <c r="E395">
        <v>9.0696096420288086</v>
      </c>
      <c r="F395">
        <v>-78.849601745605469</v>
      </c>
      <c r="G395">
        <v>1713070</v>
      </c>
      <c r="H395">
        <v>808</v>
      </c>
      <c r="I395" t="s">
        <v>451</v>
      </c>
      <c r="J395">
        <v>9.2068700790405273</v>
      </c>
      <c r="K395">
        <v>-79.422203063964844</v>
      </c>
      <c r="L395">
        <v>880691</v>
      </c>
      <c r="M395">
        <v>80813</v>
      </c>
      <c r="N395" t="s">
        <v>229</v>
      </c>
      <c r="O395">
        <v>9.0966596603393555</v>
      </c>
      <c r="P395">
        <v>-79.437797546386719</v>
      </c>
      <c r="Q395">
        <v>51641</v>
      </c>
    </row>
    <row r="396" spans="1:17" x14ac:dyDescent="0.25">
      <c r="A396">
        <v>385</v>
      </c>
      <c r="B396" t="str">
        <f t="shared" ref="B396:B459" si="6">+N396</f>
        <v>Caimitillo</v>
      </c>
      <c r="C396">
        <v>8</v>
      </c>
      <c r="D396" t="s">
        <v>451</v>
      </c>
      <c r="E396">
        <v>9.0696096420288086</v>
      </c>
      <c r="F396">
        <v>-78.849601745605469</v>
      </c>
      <c r="G396">
        <v>1713070</v>
      </c>
      <c r="H396">
        <v>808</v>
      </c>
      <c r="I396" t="s">
        <v>451</v>
      </c>
      <c r="J396">
        <v>9.2068700790405273</v>
      </c>
      <c r="K396">
        <v>-79.422203063964844</v>
      </c>
      <c r="L396">
        <v>880691</v>
      </c>
      <c r="M396">
        <v>80814</v>
      </c>
      <c r="N396" t="s">
        <v>482</v>
      </c>
      <c r="O396">
        <v>9.2466897964477539</v>
      </c>
      <c r="P396">
        <v>-79.571502685546875</v>
      </c>
      <c r="Q396">
        <v>29761</v>
      </c>
    </row>
    <row r="397" spans="1:17" x14ac:dyDescent="0.25">
      <c r="A397">
        <v>386</v>
      </c>
      <c r="B397" t="str">
        <f t="shared" si="6"/>
        <v>Caimitillo</v>
      </c>
      <c r="C397">
        <v>8</v>
      </c>
      <c r="D397" t="s">
        <v>451</v>
      </c>
      <c r="E397">
        <v>9.0696096420288086</v>
      </c>
      <c r="F397">
        <v>-78.849601745605469</v>
      </c>
      <c r="G397">
        <v>1713070</v>
      </c>
      <c r="H397">
        <v>808</v>
      </c>
      <c r="I397" t="s">
        <v>451</v>
      </c>
      <c r="J397">
        <v>9.2068700790405273</v>
      </c>
      <c r="K397">
        <v>-79.422203063964844</v>
      </c>
      <c r="L397">
        <v>880691</v>
      </c>
      <c r="M397">
        <v>80815</v>
      </c>
      <c r="N397" t="s">
        <v>482</v>
      </c>
      <c r="O397">
        <v>9.3258895874023438</v>
      </c>
      <c r="P397">
        <v>-79.442001342773438</v>
      </c>
      <c r="Q397">
        <v>53955</v>
      </c>
    </row>
    <row r="398" spans="1:17" x14ac:dyDescent="0.25">
      <c r="A398">
        <v>387</v>
      </c>
      <c r="B398" t="str">
        <f t="shared" si="6"/>
        <v>Chilibre</v>
      </c>
      <c r="C398">
        <v>8</v>
      </c>
      <c r="D398" t="s">
        <v>451</v>
      </c>
      <c r="E398">
        <v>9.0696096420288086</v>
      </c>
      <c r="F398">
        <v>-78.849601745605469</v>
      </c>
      <c r="G398">
        <v>1713070</v>
      </c>
      <c r="H398">
        <v>808</v>
      </c>
      <c r="I398" t="s">
        <v>451</v>
      </c>
      <c r="J398">
        <v>9.2068700790405273</v>
      </c>
      <c r="K398">
        <v>-79.422203063964844</v>
      </c>
      <c r="L398">
        <v>880691</v>
      </c>
      <c r="M398">
        <v>80815</v>
      </c>
      <c r="N398" t="s">
        <v>483</v>
      </c>
      <c r="O398">
        <v>9.1492099761962891</v>
      </c>
      <c r="P398">
        <v>-79.602699279785156</v>
      </c>
      <c r="Q398">
        <v>53955</v>
      </c>
    </row>
    <row r="399" spans="1:17" x14ac:dyDescent="0.25">
      <c r="A399">
        <v>388</v>
      </c>
      <c r="B399" t="str">
        <f t="shared" si="6"/>
        <v>Las Cumbres</v>
      </c>
      <c r="C399">
        <v>8</v>
      </c>
      <c r="D399" t="s">
        <v>451</v>
      </c>
      <c r="E399">
        <v>9.0696096420288086</v>
      </c>
      <c r="F399">
        <v>-78.849601745605469</v>
      </c>
      <c r="G399">
        <v>1713070</v>
      </c>
      <c r="H399">
        <v>808</v>
      </c>
      <c r="I399" t="s">
        <v>451</v>
      </c>
      <c r="J399">
        <v>9.2068700790405273</v>
      </c>
      <c r="K399">
        <v>-79.422203063964844</v>
      </c>
      <c r="L399">
        <v>880691</v>
      </c>
      <c r="M399">
        <v>80816</v>
      </c>
      <c r="N399" t="s">
        <v>484</v>
      </c>
      <c r="O399">
        <v>9.0896902084350586</v>
      </c>
      <c r="P399">
        <v>-79.55419921875</v>
      </c>
      <c r="Q399">
        <v>32867</v>
      </c>
    </row>
    <row r="400" spans="1:17" x14ac:dyDescent="0.25">
      <c r="A400">
        <v>389</v>
      </c>
      <c r="B400" t="str">
        <f t="shared" si="6"/>
        <v>Las Garzas</v>
      </c>
      <c r="C400">
        <v>8</v>
      </c>
      <c r="D400" t="s">
        <v>451</v>
      </c>
      <c r="E400">
        <v>9.0696096420288086</v>
      </c>
      <c r="F400">
        <v>-78.849601745605469</v>
      </c>
      <c r="G400">
        <v>1713070</v>
      </c>
      <c r="H400">
        <v>808</v>
      </c>
      <c r="I400" t="s">
        <v>451</v>
      </c>
      <c r="J400">
        <v>9.2068700790405273</v>
      </c>
      <c r="K400">
        <v>-79.422203063964844</v>
      </c>
      <c r="L400">
        <v>880691</v>
      </c>
      <c r="M400">
        <v>80817</v>
      </c>
      <c r="N400" t="s">
        <v>485</v>
      </c>
      <c r="O400">
        <v>9.0703802108764648</v>
      </c>
      <c r="P400">
        <v>-79.218803405761719</v>
      </c>
      <c r="Q400">
        <v>52494</v>
      </c>
    </row>
    <row r="401" spans="1:17" x14ac:dyDescent="0.25">
      <c r="A401">
        <v>390</v>
      </c>
      <c r="B401" t="str">
        <f t="shared" si="6"/>
        <v>Pacora</v>
      </c>
      <c r="C401">
        <v>8</v>
      </c>
      <c r="D401" t="s">
        <v>451</v>
      </c>
      <c r="E401">
        <v>9.0696096420288086</v>
      </c>
      <c r="F401">
        <v>-78.849601745605469</v>
      </c>
      <c r="G401">
        <v>1713070</v>
      </c>
      <c r="H401">
        <v>808</v>
      </c>
      <c r="I401" t="s">
        <v>451</v>
      </c>
      <c r="J401">
        <v>9.2068700790405273</v>
      </c>
      <c r="K401">
        <v>-79.422203063964844</v>
      </c>
      <c r="L401">
        <v>880691</v>
      </c>
      <c r="M401">
        <v>80817</v>
      </c>
      <c r="N401" t="s">
        <v>486</v>
      </c>
      <c r="O401">
        <v>9.150629997253418</v>
      </c>
      <c r="P401">
        <v>-79.329200744628906</v>
      </c>
      <c r="Q401">
        <v>52494</v>
      </c>
    </row>
    <row r="402" spans="1:17" x14ac:dyDescent="0.25">
      <c r="A402">
        <v>391</v>
      </c>
      <c r="B402" t="str">
        <f t="shared" si="6"/>
        <v>San Martín</v>
      </c>
      <c r="C402">
        <v>8</v>
      </c>
      <c r="D402" t="s">
        <v>451</v>
      </c>
      <c r="E402">
        <v>9.0696096420288086</v>
      </c>
      <c r="F402">
        <v>-78.849601745605469</v>
      </c>
      <c r="G402">
        <v>1713070</v>
      </c>
      <c r="H402">
        <v>808</v>
      </c>
      <c r="I402" t="s">
        <v>451</v>
      </c>
      <c r="J402">
        <v>9.2068700790405273</v>
      </c>
      <c r="K402">
        <v>-79.422203063964844</v>
      </c>
      <c r="L402">
        <v>880691</v>
      </c>
      <c r="M402">
        <v>80818</v>
      </c>
      <c r="N402" t="s">
        <v>487</v>
      </c>
      <c r="O402">
        <v>9.2171297073364258</v>
      </c>
      <c r="P402">
        <v>-79.252998352050781</v>
      </c>
      <c r="Q402">
        <v>4410</v>
      </c>
    </row>
    <row r="403" spans="1:17" x14ac:dyDescent="0.25">
      <c r="A403">
        <v>392</v>
      </c>
      <c r="B403" t="str">
        <f t="shared" si="6"/>
        <v>Tocumen</v>
      </c>
      <c r="C403">
        <v>8</v>
      </c>
      <c r="D403" t="s">
        <v>451</v>
      </c>
      <c r="E403">
        <v>9.0696096420288086</v>
      </c>
      <c r="F403">
        <v>-78.849601745605469</v>
      </c>
      <c r="G403">
        <v>1713070</v>
      </c>
      <c r="H403">
        <v>808</v>
      </c>
      <c r="I403" t="s">
        <v>451</v>
      </c>
      <c r="J403">
        <v>9.2068700790405273</v>
      </c>
      <c r="K403">
        <v>-79.422203063964844</v>
      </c>
      <c r="L403">
        <v>880691</v>
      </c>
      <c r="M403">
        <v>80819</v>
      </c>
      <c r="N403" t="s">
        <v>488</v>
      </c>
      <c r="O403">
        <v>9.1018600463867188</v>
      </c>
      <c r="P403">
        <v>-79.400001525878906</v>
      </c>
      <c r="Q403">
        <v>74952</v>
      </c>
    </row>
    <row r="404" spans="1:17" x14ac:dyDescent="0.25">
      <c r="A404">
        <v>393</v>
      </c>
      <c r="B404" t="str">
        <f t="shared" si="6"/>
        <v>Las Mañanitas</v>
      </c>
      <c r="C404">
        <v>8</v>
      </c>
      <c r="D404" t="s">
        <v>451</v>
      </c>
      <c r="E404">
        <v>9.0696096420288086</v>
      </c>
      <c r="F404">
        <v>-78.849601745605469</v>
      </c>
      <c r="G404">
        <v>1713070</v>
      </c>
      <c r="H404">
        <v>808</v>
      </c>
      <c r="I404" t="s">
        <v>451</v>
      </c>
      <c r="J404">
        <v>9.2068700790405273</v>
      </c>
      <c r="K404">
        <v>-79.422203063964844</v>
      </c>
      <c r="L404">
        <v>880691</v>
      </c>
      <c r="M404">
        <v>80820</v>
      </c>
      <c r="N404" t="s">
        <v>489</v>
      </c>
      <c r="O404">
        <v>9.1074199676513672</v>
      </c>
      <c r="P404">
        <v>-79.417999267578125</v>
      </c>
      <c r="Q404">
        <v>39473</v>
      </c>
    </row>
    <row r="405" spans="1:17" x14ac:dyDescent="0.25">
      <c r="A405">
        <v>394</v>
      </c>
      <c r="B405" t="str">
        <f t="shared" si="6"/>
        <v>24 de Diciembre</v>
      </c>
      <c r="C405">
        <v>8</v>
      </c>
      <c r="D405" t="s">
        <v>451</v>
      </c>
      <c r="E405">
        <v>9.0696096420288086</v>
      </c>
      <c r="F405">
        <v>-78.849601745605469</v>
      </c>
      <c r="G405">
        <v>1713070</v>
      </c>
      <c r="H405">
        <v>808</v>
      </c>
      <c r="I405" t="s">
        <v>451</v>
      </c>
      <c r="J405">
        <v>9.2068700790405273</v>
      </c>
      <c r="K405">
        <v>-79.422203063964844</v>
      </c>
      <c r="L405">
        <v>880691</v>
      </c>
      <c r="M405">
        <v>80821</v>
      </c>
      <c r="N405" t="s">
        <v>490</v>
      </c>
      <c r="O405">
        <v>9.1427297592163086</v>
      </c>
      <c r="P405">
        <v>-79.382003784179688</v>
      </c>
      <c r="Q405">
        <v>65404</v>
      </c>
    </row>
    <row r="406" spans="1:17" x14ac:dyDescent="0.25">
      <c r="A406">
        <v>395</v>
      </c>
      <c r="B406" t="str">
        <f t="shared" si="6"/>
        <v>Alcalde Díaz</v>
      </c>
      <c r="C406">
        <v>8</v>
      </c>
      <c r="D406" t="s">
        <v>451</v>
      </c>
      <c r="E406">
        <v>9.0696096420288086</v>
      </c>
      <c r="F406">
        <v>-78.849601745605469</v>
      </c>
      <c r="G406">
        <v>1713070</v>
      </c>
      <c r="H406">
        <v>808</v>
      </c>
      <c r="I406" t="s">
        <v>451</v>
      </c>
      <c r="J406">
        <v>9.2068700790405273</v>
      </c>
      <c r="K406">
        <v>-79.422203063964844</v>
      </c>
      <c r="L406">
        <v>880691</v>
      </c>
      <c r="M406">
        <v>80822</v>
      </c>
      <c r="N406" t="s">
        <v>491</v>
      </c>
      <c r="O406">
        <v>9.1323299407958984</v>
      </c>
      <c r="P406">
        <v>-79.510597229003906</v>
      </c>
      <c r="Q406">
        <v>41292</v>
      </c>
    </row>
    <row r="407" spans="1:17" x14ac:dyDescent="0.25">
      <c r="A407">
        <v>396</v>
      </c>
      <c r="B407" t="str">
        <f t="shared" si="6"/>
        <v>Ernesto Córdoba Campos</v>
      </c>
      <c r="C407">
        <v>8</v>
      </c>
      <c r="D407" t="s">
        <v>451</v>
      </c>
      <c r="E407">
        <v>9.0696096420288086</v>
      </c>
      <c r="F407">
        <v>-78.849601745605469</v>
      </c>
      <c r="G407">
        <v>1713070</v>
      </c>
      <c r="H407">
        <v>808</v>
      </c>
      <c r="I407" t="s">
        <v>451</v>
      </c>
      <c r="J407">
        <v>9.2068700790405273</v>
      </c>
      <c r="K407">
        <v>-79.422203063964844</v>
      </c>
      <c r="L407">
        <v>880691</v>
      </c>
      <c r="M407">
        <v>80823</v>
      </c>
      <c r="N407" t="s">
        <v>492</v>
      </c>
      <c r="O407">
        <v>9.1004400253295898</v>
      </c>
      <c r="P407">
        <v>-79.4927978515625</v>
      </c>
      <c r="Q407">
        <v>55784</v>
      </c>
    </row>
    <row r="408" spans="1:17" x14ac:dyDescent="0.25">
      <c r="A408">
        <v>397</v>
      </c>
      <c r="B408" t="str">
        <f t="shared" si="6"/>
        <v>Ancón</v>
      </c>
      <c r="C408">
        <v>8</v>
      </c>
      <c r="D408" t="s">
        <v>451</v>
      </c>
      <c r="E408">
        <v>9.0696096420288086</v>
      </c>
      <c r="F408">
        <v>-78.849601745605469</v>
      </c>
      <c r="G408">
        <v>1713070</v>
      </c>
      <c r="H408">
        <v>808</v>
      </c>
      <c r="I408" t="s">
        <v>451</v>
      </c>
      <c r="J408">
        <v>9.2068700790405273</v>
      </c>
      <c r="K408">
        <v>-79.422203063964844</v>
      </c>
      <c r="L408">
        <v>880691</v>
      </c>
      <c r="M408">
        <v>80814</v>
      </c>
      <c r="N408" t="s">
        <v>493</v>
      </c>
      <c r="O408">
        <v>9.0760498046875</v>
      </c>
      <c r="P408">
        <v>-79.635597229003906</v>
      </c>
      <c r="Q408">
        <v>29761</v>
      </c>
    </row>
    <row r="409" spans="1:17" x14ac:dyDescent="0.25">
      <c r="A409">
        <v>398</v>
      </c>
      <c r="B409" t="str">
        <f t="shared" si="6"/>
        <v>Ancón</v>
      </c>
      <c r="C409">
        <v>8</v>
      </c>
      <c r="D409" t="s">
        <v>451</v>
      </c>
      <c r="E409">
        <v>9.0696096420288086</v>
      </c>
      <c r="F409">
        <v>-78.849601745605469</v>
      </c>
      <c r="G409">
        <v>1713070</v>
      </c>
      <c r="H409">
        <v>808</v>
      </c>
      <c r="I409" t="s">
        <v>451</v>
      </c>
      <c r="J409">
        <v>9.2068700790405273</v>
      </c>
      <c r="K409">
        <v>-79.422203063964844</v>
      </c>
      <c r="L409">
        <v>880691</v>
      </c>
      <c r="M409">
        <v>80814</v>
      </c>
      <c r="N409" t="s">
        <v>493</v>
      </c>
      <c r="O409">
        <v>9.065770149230957</v>
      </c>
      <c r="P409">
        <v>-79.607597351074219</v>
      </c>
      <c r="Q409">
        <v>29761</v>
      </c>
    </row>
    <row r="410" spans="1:17" x14ac:dyDescent="0.25">
      <c r="A410">
        <v>399</v>
      </c>
      <c r="B410" t="str">
        <f t="shared" si="6"/>
        <v>Amelia Denis de Icaza</v>
      </c>
      <c r="C410">
        <v>8</v>
      </c>
      <c r="D410" t="s">
        <v>451</v>
      </c>
      <c r="E410">
        <v>9.0696096420288086</v>
      </c>
      <c r="F410">
        <v>-78.849601745605469</v>
      </c>
      <c r="G410">
        <v>1713070</v>
      </c>
      <c r="H410">
        <v>810</v>
      </c>
      <c r="I410" t="s">
        <v>494</v>
      </c>
      <c r="J410">
        <v>9.059229850769043</v>
      </c>
      <c r="K410">
        <v>-79.489799499511719</v>
      </c>
      <c r="L410">
        <v>315019</v>
      </c>
      <c r="M410">
        <v>81001</v>
      </c>
      <c r="N410" t="s">
        <v>495</v>
      </c>
      <c r="O410">
        <v>9.0411100387573242</v>
      </c>
      <c r="P410">
        <v>-79.514198303222656</v>
      </c>
      <c r="Q410">
        <v>38397</v>
      </c>
    </row>
    <row r="411" spans="1:17" x14ac:dyDescent="0.25">
      <c r="A411">
        <v>400</v>
      </c>
      <c r="B411" t="str">
        <f t="shared" si="6"/>
        <v>Belisario Porras</v>
      </c>
      <c r="C411">
        <v>8</v>
      </c>
      <c r="D411" t="s">
        <v>451</v>
      </c>
      <c r="E411">
        <v>9.0696096420288086</v>
      </c>
      <c r="F411">
        <v>-78.849601745605469</v>
      </c>
      <c r="G411">
        <v>1713070</v>
      </c>
      <c r="H411">
        <v>810</v>
      </c>
      <c r="I411" t="s">
        <v>494</v>
      </c>
      <c r="J411">
        <v>9.059229850769043</v>
      </c>
      <c r="K411">
        <v>-79.489799499511719</v>
      </c>
      <c r="L411">
        <v>315019</v>
      </c>
      <c r="M411">
        <v>81002</v>
      </c>
      <c r="N411" t="s">
        <v>496</v>
      </c>
      <c r="O411">
        <v>9.0538196563720703</v>
      </c>
      <c r="P411">
        <v>-79.4989013671875</v>
      </c>
      <c r="Q411">
        <v>49367</v>
      </c>
    </row>
    <row r="412" spans="1:17" x14ac:dyDescent="0.25">
      <c r="A412">
        <v>401</v>
      </c>
      <c r="B412" t="str">
        <f t="shared" si="6"/>
        <v>José Domingo Espinar</v>
      </c>
      <c r="C412">
        <v>8</v>
      </c>
      <c r="D412" t="s">
        <v>451</v>
      </c>
      <c r="E412">
        <v>9.0696096420288086</v>
      </c>
      <c r="F412">
        <v>-78.849601745605469</v>
      </c>
      <c r="G412">
        <v>1713070</v>
      </c>
      <c r="H412">
        <v>810</v>
      </c>
      <c r="I412" t="s">
        <v>494</v>
      </c>
      <c r="J412">
        <v>9.059229850769043</v>
      </c>
      <c r="K412">
        <v>-79.489799499511719</v>
      </c>
      <c r="L412">
        <v>315019</v>
      </c>
      <c r="M412">
        <v>81003</v>
      </c>
      <c r="N412" t="s">
        <v>497</v>
      </c>
      <c r="O412">
        <v>9.0488100051879883</v>
      </c>
      <c r="P412">
        <v>-79.478302001953125</v>
      </c>
      <c r="Q412">
        <v>44471</v>
      </c>
    </row>
    <row r="413" spans="1:17" x14ac:dyDescent="0.25">
      <c r="A413">
        <v>402</v>
      </c>
      <c r="B413" t="str">
        <f t="shared" si="6"/>
        <v>Mateo Iturralde</v>
      </c>
      <c r="C413">
        <v>8</v>
      </c>
      <c r="D413" t="s">
        <v>451</v>
      </c>
      <c r="E413">
        <v>9.0696096420288086</v>
      </c>
      <c r="F413">
        <v>-78.849601745605469</v>
      </c>
      <c r="G413">
        <v>1713070</v>
      </c>
      <c r="H413">
        <v>810</v>
      </c>
      <c r="I413" t="s">
        <v>494</v>
      </c>
      <c r="J413">
        <v>9.059229850769043</v>
      </c>
      <c r="K413">
        <v>-79.489799499511719</v>
      </c>
      <c r="L413">
        <v>315019</v>
      </c>
      <c r="M413">
        <v>81004</v>
      </c>
      <c r="N413" t="s">
        <v>498</v>
      </c>
      <c r="O413">
        <v>9.0337696075439453</v>
      </c>
      <c r="P413">
        <v>-79.496200561523438</v>
      </c>
      <c r="Q413">
        <v>11496</v>
      </c>
    </row>
    <row r="414" spans="1:17" x14ac:dyDescent="0.25">
      <c r="A414">
        <v>403</v>
      </c>
      <c r="B414" t="str">
        <f t="shared" si="6"/>
        <v>Victoriano Lorenzo</v>
      </c>
      <c r="C414">
        <v>8</v>
      </c>
      <c r="D414" t="s">
        <v>451</v>
      </c>
      <c r="E414">
        <v>9.0696096420288086</v>
      </c>
      <c r="F414">
        <v>-78.849601745605469</v>
      </c>
      <c r="G414">
        <v>1713070</v>
      </c>
      <c r="H414">
        <v>810</v>
      </c>
      <c r="I414" t="s">
        <v>494</v>
      </c>
      <c r="J414">
        <v>9.059229850769043</v>
      </c>
      <c r="K414">
        <v>-79.489799499511719</v>
      </c>
      <c r="L414">
        <v>315019</v>
      </c>
      <c r="M414">
        <v>81005</v>
      </c>
      <c r="N414" t="s">
        <v>499</v>
      </c>
      <c r="O414">
        <v>9.0315103530883789</v>
      </c>
      <c r="P414">
        <v>-79.505996704101563</v>
      </c>
      <c r="Q414">
        <v>15873</v>
      </c>
    </row>
    <row r="415" spans="1:17" x14ac:dyDescent="0.25">
      <c r="A415">
        <v>404</v>
      </c>
      <c r="B415" t="str">
        <f t="shared" si="6"/>
        <v>Arnulfo Arias</v>
      </c>
      <c r="C415">
        <v>8</v>
      </c>
      <c r="D415" t="s">
        <v>451</v>
      </c>
      <c r="E415">
        <v>9.0696096420288086</v>
      </c>
      <c r="F415">
        <v>-78.849601745605469</v>
      </c>
      <c r="G415">
        <v>1713070</v>
      </c>
      <c r="H415">
        <v>810</v>
      </c>
      <c r="I415" t="s">
        <v>494</v>
      </c>
      <c r="J415">
        <v>9.059229850769043</v>
      </c>
      <c r="K415">
        <v>-79.489799499511719</v>
      </c>
      <c r="L415">
        <v>315019</v>
      </c>
      <c r="M415">
        <v>81006</v>
      </c>
      <c r="N415" t="s">
        <v>500</v>
      </c>
      <c r="O415">
        <v>9.0655603408813477</v>
      </c>
      <c r="P415">
        <v>-79.482002258300781</v>
      </c>
      <c r="Q415">
        <v>31650</v>
      </c>
    </row>
    <row r="416" spans="1:17" x14ac:dyDescent="0.25">
      <c r="A416">
        <v>405</v>
      </c>
      <c r="B416" t="str">
        <f t="shared" si="6"/>
        <v>Belisario Frías</v>
      </c>
      <c r="C416">
        <v>8</v>
      </c>
      <c r="D416" t="s">
        <v>451</v>
      </c>
      <c r="E416">
        <v>9.0696096420288086</v>
      </c>
      <c r="F416">
        <v>-78.849601745605469</v>
      </c>
      <c r="G416">
        <v>1713070</v>
      </c>
      <c r="H416">
        <v>810</v>
      </c>
      <c r="I416" t="s">
        <v>494</v>
      </c>
      <c r="J416">
        <v>9.059229850769043</v>
      </c>
      <c r="K416">
        <v>-79.489799499511719</v>
      </c>
      <c r="L416">
        <v>315019</v>
      </c>
      <c r="M416">
        <v>81007</v>
      </c>
      <c r="N416" t="s">
        <v>501</v>
      </c>
      <c r="O416">
        <v>9.0767803192138672</v>
      </c>
      <c r="P416">
        <v>-79.490699768066406</v>
      </c>
      <c r="Q416">
        <v>44571</v>
      </c>
    </row>
    <row r="417" spans="1:17" x14ac:dyDescent="0.25">
      <c r="A417">
        <v>406</v>
      </c>
      <c r="B417" t="str">
        <f t="shared" si="6"/>
        <v>Omar Torrijos</v>
      </c>
      <c r="C417">
        <v>8</v>
      </c>
      <c r="D417" t="s">
        <v>451</v>
      </c>
      <c r="E417">
        <v>9.0696096420288086</v>
      </c>
      <c r="F417">
        <v>-78.849601745605469</v>
      </c>
      <c r="G417">
        <v>1713070</v>
      </c>
      <c r="H417">
        <v>810</v>
      </c>
      <c r="I417" t="s">
        <v>494</v>
      </c>
      <c r="J417">
        <v>9.059229850769043</v>
      </c>
      <c r="K417">
        <v>-79.489799499511719</v>
      </c>
      <c r="L417">
        <v>315019</v>
      </c>
      <c r="M417">
        <v>81008</v>
      </c>
      <c r="N417" t="s">
        <v>502</v>
      </c>
      <c r="O417">
        <v>9.0598697662353516</v>
      </c>
      <c r="P417">
        <v>-79.52130126953125</v>
      </c>
      <c r="Q417">
        <v>36452</v>
      </c>
    </row>
    <row r="418" spans="1:17" x14ac:dyDescent="0.25">
      <c r="A418">
        <v>407</v>
      </c>
      <c r="B418" t="str">
        <f t="shared" si="6"/>
        <v>Rufina Alfaro</v>
      </c>
      <c r="C418">
        <v>8</v>
      </c>
      <c r="D418" t="s">
        <v>451</v>
      </c>
      <c r="E418">
        <v>9.0696096420288086</v>
      </c>
      <c r="F418">
        <v>-78.849601745605469</v>
      </c>
      <c r="G418">
        <v>1713070</v>
      </c>
      <c r="H418">
        <v>810</v>
      </c>
      <c r="I418" t="s">
        <v>494</v>
      </c>
      <c r="J418">
        <v>9.059229850769043</v>
      </c>
      <c r="K418">
        <v>-79.489799499511719</v>
      </c>
      <c r="L418">
        <v>315019</v>
      </c>
      <c r="M418">
        <v>81009</v>
      </c>
      <c r="N418" t="s">
        <v>503</v>
      </c>
      <c r="O418">
        <v>9.0696697235107422</v>
      </c>
      <c r="P418">
        <v>-79.457603454589844</v>
      </c>
      <c r="Q418">
        <v>42742</v>
      </c>
    </row>
    <row r="419" spans="1:17" x14ac:dyDescent="0.25">
      <c r="A419">
        <v>408</v>
      </c>
      <c r="B419" t="str">
        <f t="shared" si="6"/>
        <v>Taboga (Cabecera)</v>
      </c>
      <c r="C419">
        <v>8</v>
      </c>
      <c r="D419" t="s">
        <v>451</v>
      </c>
      <c r="E419">
        <v>9.0696096420288086</v>
      </c>
      <c r="F419">
        <v>-78.849601745605469</v>
      </c>
      <c r="G419">
        <v>1713070</v>
      </c>
      <c r="H419">
        <v>811</v>
      </c>
      <c r="I419" t="s">
        <v>504</v>
      </c>
      <c r="J419">
        <v>8.7336997985839844</v>
      </c>
      <c r="K419">
        <v>-79.56390380859375</v>
      </c>
      <c r="L419">
        <v>1119</v>
      </c>
      <c r="M419">
        <v>81101</v>
      </c>
      <c r="N419" t="s">
        <v>505</v>
      </c>
      <c r="O419">
        <v>8.7910699844360352</v>
      </c>
      <c r="P419">
        <v>-79.549201965332031</v>
      </c>
      <c r="Q419">
        <v>731</v>
      </c>
    </row>
    <row r="420" spans="1:17" x14ac:dyDescent="0.25">
      <c r="A420">
        <v>409</v>
      </c>
      <c r="B420" t="str">
        <f t="shared" si="6"/>
        <v>Otoque Occidente</v>
      </c>
      <c r="C420">
        <v>8</v>
      </c>
      <c r="D420" t="s">
        <v>451</v>
      </c>
      <c r="E420">
        <v>9.0696096420288086</v>
      </c>
      <c r="F420">
        <v>-78.849601745605469</v>
      </c>
      <c r="G420">
        <v>1713070</v>
      </c>
      <c r="H420">
        <v>811</v>
      </c>
      <c r="I420" t="s">
        <v>504</v>
      </c>
      <c r="J420">
        <v>8.7336997985839844</v>
      </c>
      <c r="K420">
        <v>-79.56390380859375</v>
      </c>
      <c r="L420">
        <v>1119</v>
      </c>
      <c r="M420">
        <v>81102</v>
      </c>
      <c r="N420" t="s">
        <v>506</v>
      </c>
      <c r="O420">
        <v>8.6012697219848633</v>
      </c>
      <c r="P420">
        <v>-79.605697631835938</v>
      </c>
      <c r="Q420">
        <v>126</v>
      </c>
    </row>
    <row r="421" spans="1:17" x14ac:dyDescent="0.25">
      <c r="A421">
        <v>410</v>
      </c>
      <c r="B421" t="str">
        <f t="shared" si="6"/>
        <v>Otoque Oriente</v>
      </c>
      <c r="C421">
        <v>8</v>
      </c>
      <c r="D421" t="s">
        <v>451</v>
      </c>
      <c r="E421">
        <v>9.0696096420288086</v>
      </c>
      <c r="F421">
        <v>-78.849601745605469</v>
      </c>
      <c r="G421">
        <v>1713070</v>
      </c>
      <c r="H421">
        <v>811</v>
      </c>
      <c r="I421" t="s">
        <v>504</v>
      </c>
      <c r="J421">
        <v>8.7336997985839844</v>
      </c>
      <c r="K421">
        <v>-79.56390380859375</v>
      </c>
      <c r="L421">
        <v>1119</v>
      </c>
      <c r="M421">
        <v>81103</v>
      </c>
      <c r="N421" t="s">
        <v>507</v>
      </c>
      <c r="O421">
        <v>8.5888900756835938</v>
      </c>
      <c r="P421">
        <v>-79.594100952148438</v>
      </c>
      <c r="Q421">
        <v>262</v>
      </c>
    </row>
    <row r="422" spans="1:17" x14ac:dyDescent="0.25">
      <c r="A422">
        <v>411</v>
      </c>
      <c r="B422" t="str">
        <f t="shared" si="6"/>
        <v>Atalaya (Cabecera)</v>
      </c>
      <c r="C422">
        <v>9</v>
      </c>
      <c r="D422" t="s">
        <v>508</v>
      </c>
      <c r="E422">
        <v>8.0782098770141602</v>
      </c>
      <c r="F422">
        <v>-81.134902954101563</v>
      </c>
      <c r="G422">
        <v>226991</v>
      </c>
      <c r="H422">
        <v>901</v>
      </c>
      <c r="I422" t="s">
        <v>509</v>
      </c>
      <c r="J422">
        <v>8.0170001983642578</v>
      </c>
      <c r="K422">
        <v>-80.910499572753906</v>
      </c>
      <c r="L422">
        <v>10205</v>
      </c>
      <c r="M422">
        <v>90101</v>
      </c>
      <c r="N422" t="s">
        <v>510</v>
      </c>
      <c r="O422">
        <v>8.0360498428344727</v>
      </c>
      <c r="P422">
        <v>-80.931503295898438</v>
      </c>
      <c r="Q422">
        <v>4924</v>
      </c>
    </row>
    <row r="423" spans="1:17" x14ac:dyDescent="0.25">
      <c r="A423">
        <v>412</v>
      </c>
      <c r="B423" t="str">
        <f t="shared" si="6"/>
        <v>El Barrito</v>
      </c>
      <c r="C423">
        <v>9</v>
      </c>
      <c r="D423" t="s">
        <v>508</v>
      </c>
      <c r="E423">
        <v>8.0782098770141602</v>
      </c>
      <c r="F423">
        <v>-81.134902954101563</v>
      </c>
      <c r="G423">
        <v>226991</v>
      </c>
      <c r="H423">
        <v>901</v>
      </c>
      <c r="I423" t="s">
        <v>509</v>
      </c>
      <c r="J423">
        <v>8.0170001983642578</v>
      </c>
      <c r="K423">
        <v>-80.910499572753906</v>
      </c>
      <c r="L423">
        <v>10205</v>
      </c>
      <c r="M423">
        <v>90102</v>
      </c>
      <c r="N423" t="s">
        <v>511</v>
      </c>
      <c r="O423">
        <v>7.9815797805786133</v>
      </c>
      <c r="P423">
        <v>-80.941703796386719</v>
      </c>
      <c r="Q423">
        <v>899</v>
      </c>
    </row>
    <row r="424" spans="1:17" x14ac:dyDescent="0.25">
      <c r="A424">
        <v>413</v>
      </c>
      <c r="B424" t="str">
        <f t="shared" si="6"/>
        <v>La Montañuela</v>
      </c>
      <c r="C424">
        <v>9</v>
      </c>
      <c r="D424" t="s">
        <v>508</v>
      </c>
      <c r="E424">
        <v>8.0782098770141602</v>
      </c>
      <c r="F424">
        <v>-81.134902954101563</v>
      </c>
      <c r="G424">
        <v>226991</v>
      </c>
      <c r="H424">
        <v>901</v>
      </c>
      <c r="I424" t="s">
        <v>509</v>
      </c>
      <c r="J424">
        <v>8.0170001983642578</v>
      </c>
      <c r="K424">
        <v>-80.910499572753906</v>
      </c>
      <c r="L424">
        <v>10205</v>
      </c>
      <c r="M424">
        <v>90103</v>
      </c>
      <c r="N424" t="s">
        <v>512</v>
      </c>
      <c r="O424">
        <v>8.0244598388671875</v>
      </c>
      <c r="P424">
        <v>-80.868598937988281</v>
      </c>
      <c r="Q424">
        <v>786</v>
      </c>
    </row>
    <row r="425" spans="1:17" x14ac:dyDescent="0.25">
      <c r="A425">
        <v>414</v>
      </c>
      <c r="B425" t="str">
        <f t="shared" si="6"/>
        <v>La Carrillo</v>
      </c>
      <c r="C425">
        <v>9</v>
      </c>
      <c r="D425" t="s">
        <v>508</v>
      </c>
      <c r="E425">
        <v>8.0782098770141602</v>
      </c>
      <c r="F425">
        <v>-81.134902954101563</v>
      </c>
      <c r="G425">
        <v>226991</v>
      </c>
      <c r="H425">
        <v>901</v>
      </c>
      <c r="I425" t="s">
        <v>509</v>
      </c>
      <c r="J425">
        <v>8.0170001983642578</v>
      </c>
      <c r="K425">
        <v>-80.910499572753906</v>
      </c>
      <c r="L425">
        <v>10205</v>
      </c>
      <c r="M425">
        <v>90104</v>
      </c>
      <c r="N425" t="s">
        <v>513</v>
      </c>
      <c r="O425">
        <v>7.9864301681518555</v>
      </c>
      <c r="P425">
        <v>-80.898300170898438</v>
      </c>
      <c r="Q425">
        <v>630</v>
      </c>
    </row>
    <row r="426" spans="1:17" x14ac:dyDescent="0.25">
      <c r="A426">
        <v>415</v>
      </c>
      <c r="B426" t="str">
        <f t="shared" si="6"/>
        <v>San Antonio</v>
      </c>
      <c r="C426">
        <v>9</v>
      </c>
      <c r="D426" t="s">
        <v>508</v>
      </c>
      <c r="E426">
        <v>8.0782098770141602</v>
      </c>
      <c r="F426">
        <v>-81.134902954101563</v>
      </c>
      <c r="G426">
        <v>226991</v>
      </c>
      <c r="H426">
        <v>901</v>
      </c>
      <c r="I426" t="s">
        <v>509</v>
      </c>
      <c r="J426">
        <v>8.0170001983642578</v>
      </c>
      <c r="K426">
        <v>-80.910499572753906</v>
      </c>
      <c r="L426">
        <v>10205</v>
      </c>
      <c r="M426">
        <v>90105</v>
      </c>
      <c r="N426" t="s">
        <v>514</v>
      </c>
      <c r="O426">
        <v>8.071009635925293</v>
      </c>
      <c r="P426">
        <v>-80.9031982421875</v>
      </c>
      <c r="Q426">
        <v>2966</v>
      </c>
    </row>
    <row r="427" spans="1:17" x14ac:dyDescent="0.25">
      <c r="A427">
        <v>416</v>
      </c>
      <c r="B427" t="str">
        <f t="shared" si="6"/>
        <v>Calobre (Cabecera)</v>
      </c>
      <c r="C427">
        <v>9</v>
      </c>
      <c r="D427" t="s">
        <v>508</v>
      </c>
      <c r="E427">
        <v>8.0782098770141602</v>
      </c>
      <c r="F427">
        <v>-81.134902954101563</v>
      </c>
      <c r="G427">
        <v>226991</v>
      </c>
      <c r="H427">
        <v>902</v>
      </c>
      <c r="I427" t="s">
        <v>515</v>
      </c>
      <c r="J427">
        <v>8.3675804138183594</v>
      </c>
      <c r="K427">
        <v>-80.83270263671875</v>
      </c>
      <c r="L427">
        <v>11493</v>
      </c>
      <c r="M427">
        <v>90201</v>
      </c>
      <c r="N427" t="s">
        <v>516</v>
      </c>
      <c r="O427">
        <v>8.2982997894287109</v>
      </c>
      <c r="P427">
        <v>-80.823898315429688</v>
      </c>
      <c r="Q427">
        <v>2514</v>
      </c>
    </row>
    <row r="428" spans="1:17" x14ac:dyDescent="0.25">
      <c r="A428">
        <v>417</v>
      </c>
      <c r="B428" t="str">
        <f t="shared" si="6"/>
        <v>Barnizal</v>
      </c>
      <c r="C428">
        <v>9</v>
      </c>
      <c r="D428" t="s">
        <v>508</v>
      </c>
      <c r="E428">
        <v>8.0782098770141602</v>
      </c>
      <c r="F428">
        <v>-81.134902954101563</v>
      </c>
      <c r="G428">
        <v>226991</v>
      </c>
      <c r="H428">
        <v>902</v>
      </c>
      <c r="I428" t="s">
        <v>515</v>
      </c>
      <c r="J428">
        <v>8.3675804138183594</v>
      </c>
      <c r="K428">
        <v>-80.83270263671875</v>
      </c>
      <c r="L428">
        <v>11493</v>
      </c>
      <c r="M428">
        <v>90202</v>
      </c>
      <c r="N428" t="s">
        <v>517</v>
      </c>
      <c r="O428">
        <v>8.4073095321655273</v>
      </c>
      <c r="P428">
        <v>-80.767799377441406</v>
      </c>
      <c r="Q428">
        <v>435</v>
      </c>
    </row>
    <row r="429" spans="1:17" x14ac:dyDescent="0.25">
      <c r="A429">
        <v>418</v>
      </c>
      <c r="B429" t="str">
        <f t="shared" si="6"/>
        <v>Chitra</v>
      </c>
      <c r="C429">
        <v>9</v>
      </c>
      <c r="D429" t="s">
        <v>508</v>
      </c>
      <c r="E429">
        <v>8.0782098770141602</v>
      </c>
      <c r="F429">
        <v>-81.134902954101563</v>
      </c>
      <c r="G429">
        <v>226991</v>
      </c>
      <c r="H429">
        <v>902</v>
      </c>
      <c r="I429" t="s">
        <v>515</v>
      </c>
      <c r="J429">
        <v>8.3675804138183594</v>
      </c>
      <c r="K429">
        <v>-80.83270263671875</v>
      </c>
      <c r="L429">
        <v>11493</v>
      </c>
      <c r="M429">
        <v>90203</v>
      </c>
      <c r="N429" t="s">
        <v>518</v>
      </c>
      <c r="O429">
        <v>8.5185203552246094</v>
      </c>
      <c r="P429">
        <v>-80.897796630859375</v>
      </c>
      <c r="Q429">
        <v>1301</v>
      </c>
    </row>
    <row r="430" spans="1:17" x14ac:dyDescent="0.25">
      <c r="A430">
        <v>419</v>
      </c>
      <c r="B430" t="str">
        <f t="shared" si="6"/>
        <v>El Cocla</v>
      </c>
      <c r="C430">
        <v>9</v>
      </c>
      <c r="D430" t="s">
        <v>508</v>
      </c>
      <c r="E430">
        <v>8.0782098770141602</v>
      </c>
      <c r="F430">
        <v>-81.134902954101563</v>
      </c>
      <c r="G430">
        <v>226991</v>
      </c>
      <c r="H430">
        <v>902</v>
      </c>
      <c r="I430" t="s">
        <v>515</v>
      </c>
      <c r="J430">
        <v>8.3675804138183594</v>
      </c>
      <c r="K430">
        <v>-80.83270263671875</v>
      </c>
      <c r="L430">
        <v>11493</v>
      </c>
      <c r="M430">
        <v>90204</v>
      </c>
      <c r="N430" t="s">
        <v>519</v>
      </c>
      <c r="O430">
        <v>8.3317098617553711</v>
      </c>
      <c r="P430">
        <v>-80.901901245117188</v>
      </c>
      <c r="Q430">
        <v>608</v>
      </c>
    </row>
    <row r="431" spans="1:17" x14ac:dyDescent="0.25">
      <c r="A431">
        <v>420</v>
      </c>
      <c r="B431" t="str">
        <f t="shared" si="6"/>
        <v>El Potrero</v>
      </c>
      <c r="C431">
        <v>9</v>
      </c>
      <c r="D431" t="s">
        <v>508</v>
      </c>
      <c r="E431">
        <v>8.0782098770141602</v>
      </c>
      <c r="F431">
        <v>-81.134902954101563</v>
      </c>
      <c r="G431">
        <v>226991</v>
      </c>
      <c r="H431">
        <v>902</v>
      </c>
      <c r="I431" t="s">
        <v>515</v>
      </c>
      <c r="J431">
        <v>8.3675804138183594</v>
      </c>
      <c r="K431">
        <v>-80.83270263671875</v>
      </c>
      <c r="L431">
        <v>11493</v>
      </c>
      <c r="M431">
        <v>90205</v>
      </c>
      <c r="N431" t="s">
        <v>137</v>
      </c>
      <c r="O431">
        <v>8.3852396011352539</v>
      </c>
      <c r="P431">
        <v>-80.808097839355469</v>
      </c>
      <c r="Q431">
        <v>635</v>
      </c>
    </row>
    <row r="432" spans="1:17" x14ac:dyDescent="0.25">
      <c r="A432">
        <v>421</v>
      </c>
      <c r="B432" t="str">
        <f t="shared" si="6"/>
        <v>La Laguna</v>
      </c>
      <c r="C432">
        <v>9</v>
      </c>
      <c r="D432" t="s">
        <v>508</v>
      </c>
      <c r="E432">
        <v>8.0782098770141602</v>
      </c>
      <c r="F432">
        <v>-81.134902954101563</v>
      </c>
      <c r="G432">
        <v>226991</v>
      </c>
      <c r="H432">
        <v>902</v>
      </c>
      <c r="I432" t="s">
        <v>515</v>
      </c>
      <c r="J432">
        <v>8.3675804138183594</v>
      </c>
      <c r="K432">
        <v>-80.83270263671875</v>
      </c>
      <c r="L432">
        <v>11493</v>
      </c>
      <c r="M432">
        <v>90206</v>
      </c>
      <c r="N432" t="s">
        <v>520</v>
      </c>
      <c r="O432">
        <v>8.3343095779418945</v>
      </c>
      <c r="P432">
        <v>-80.750602722167969</v>
      </c>
      <c r="Q432">
        <v>774</v>
      </c>
    </row>
    <row r="433" spans="1:17" x14ac:dyDescent="0.25">
      <c r="A433">
        <v>422</v>
      </c>
      <c r="B433" t="str">
        <f t="shared" si="6"/>
        <v>La Raya de Calobre</v>
      </c>
      <c r="C433">
        <v>9</v>
      </c>
      <c r="D433" t="s">
        <v>508</v>
      </c>
      <c r="E433">
        <v>8.0782098770141602</v>
      </c>
      <c r="F433">
        <v>-81.134902954101563</v>
      </c>
      <c r="G433">
        <v>226991</v>
      </c>
      <c r="H433">
        <v>902</v>
      </c>
      <c r="I433" t="s">
        <v>515</v>
      </c>
      <c r="J433">
        <v>8.3675804138183594</v>
      </c>
      <c r="K433">
        <v>-80.83270263671875</v>
      </c>
      <c r="L433">
        <v>11493</v>
      </c>
      <c r="M433">
        <v>90207</v>
      </c>
      <c r="N433" t="s">
        <v>521</v>
      </c>
      <c r="O433">
        <v>8.2249898910522461</v>
      </c>
      <c r="P433">
        <v>-80.811599731445313</v>
      </c>
      <c r="Q433">
        <v>496</v>
      </c>
    </row>
    <row r="434" spans="1:17" x14ac:dyDescent="0.25">
      <c r="A434">
        <v>423</v>
      </c>
      <c r="B434" t="str">
        <f t="shared" si="6"/>
        <v>La Tetilla</v>
      </c>
      <c r="C434">
        <v>9</v>
      </c>
      <c r="D434" t="s">
        <v>508</v>
      </c>
      <c r="E434">
        <v>8.0782098770141602</v>
      </c>
      <c r="F434">
        <v>-81.134902954101563</v>
      </c>
      <c r="G434">
        <v>226991</v>
      </c>
      <c r="H434">
        <v>902</v>
      </c>
      <c r="I434" t="s">
        <v>515</v>
      </c>
      <c r="J434">
        <v>8.3675804138183594</v>
      </c>
      <c r="K434">
        <v>-80.83270263671875</v>
      </c>
      <c r="L434">
        <v>11493</v>
      </c>
      <c r="M434">
        <v>90208</v>
      </c>
      <c r="N434" t="s">
        <v>522</v>
      </c>
      <c r="O434">
        <v>8.2561798095703125</v>
      </c>
      <c r="P434">
        <v>-80.875396728515625</v>
      </c>
      <c r="Q434">
        <v>400</v>
      </c>
    </row>
    <row r="435" spans="1:17" x14ac:dyDescent="0.25">
      <c r="A435">
        <v>424</v>
      </c>
      <c r="B435" t="str">
        <f t="shared" si="6"/>
        <v>La Yeguada</v>
      </c>
      <c r="C435">
        <v>9</v>
      </c>
      <c r="D435" t="s">
        <v>508</v>
      </c>
      <c r="E435">
        <v>8.0782098770141602</v>
      </c>
      <c r="F435">
        <v>-81.134902954101563</v>
      </c>
      <c r="G435">
        <v>226991</v>
      </c>
      <c r="H435">
        <v>902</v>
      </c>
      <c r="I435" t="s">
        <v>515</v>
      </c>
      <c r="J435">
        <v>8.3675804138183594</v>
      </c>
      <c r="K435">
        <v>-80.83270263671875</v>
      </c>
      <c r="L435">
        <v>11493</v>
      </c>
      <c r="M435">
        <v>90209</v>
      </c>
      <c r="N435" t="s">
        <v>523</v>
      </c>
      <c r="O435">
        <v>8.4527997970581055</v>
      </c>
      <c r="P435">
        <v>-80.865402221679688</v>
      </c>
      <c r="Q435">
        <v>1353</v>
      </c>
    </row>
    <row r="436" spans="1:17" x14ac:dyDescent="0.25">
      <c r="A436">
        <v>425</v>
      </c>
      <c r="B436" t="str">
        <f t="shared" si="6"/>
        <v>La Yeguada</v>
      </c>
      <c r="C436">
        <v>9</v>
      </c>
      <c r="D436" t="s">
        <v>508</v>
      </c>
      <c r="E436">
        <v>8.0782098770141602</v>
      </c>
      <c r="F436">
        <v>-81.134902954101563</v>
      </c>
      <c r="G436">
        <v>226991</v>
      </c>
      <c r="H436">
        <v>902</v>
      </c>
      <c r="I436" t="s">
        <v>515</v>
      </c>
      <c r="J436">
        <v>8.3675804138183594</v>
      </c>
      <c r="K436">
        <v>-80.83270263671875</v>
      </c>
      <c r="L436">
        <v>11493</v>
      </c>
      <c r="M436">
        <v>90209</v>
      </c>
      <c r="N436" t="s">
        <v>523</v>
      </c>
      <c r="O436">
        <v>8.4563302993774414</v>
      </c>
      <c r="P436">
        <v>-80.856201171875</v>
      </c>
      <c r="Q436">
        <v>1353</v>
      </c>
    </row>
    <row r="437" spans="1:17" x14ac:dyDescent="0.25">
      <c r="A437">
        <v>426</v>
      </c>
      <c r="B437" t="str">
        <f t="shared" si="6"/>
        <v>Las Guías</v>
      </c>
      <c r="C437">
        <v>9</v>
      </c>
      <c r="D437" t="s">
        <v>508</v>
      </c>
      <c r="E437">
        <v>8.0782098770141602</v>
      </c>
      <c r="F437">
        <v>-81.134902954101563</v>
      </c>
      <c r="G437">
        <v>226991</v>
      </c>
      <c r="H437">
        <v>902</v>
      </c>
      <c r="I437" t="s">
        <v>515</v>
      </c>
      <c r="J437">
        <v>8.3675804138183594</v>
      </c>
      <c r="K437">
        <v>-80.83270263671875</v>
      </c>
      <c r="L437">
        <v>11493</v>
      </c>
      <c r="M437">
        <v>90210</v>
      </c>
      <c r="N437" t="s">
        <v>524</v>
      </c>
      <c r="O437">
        <v>8.2389402389526367</v>
      </c>
      <c r="P437">
        <v>-80.757797241210938</v>
      </c>
      <c r="Q437">
        <v>1712</v>
      </c>
    </row>
    <row r="438" spans="1:17" x14ac:dyDescent="0.25">
      <c r="A438">
        <v>427</v>
      </c>
      <c r="B438" t="str">
        <f t="shared" si="6"/>
        <v>Monjarás</v>
      </c>
      <c r="C438">
        <v>9</v>
      </c>
      <c r="D438" t="s">
        <v>508</v>
      </c>
      <c r="E438">
        <v>8.0782098770141602</v>
      </c>
      <c r="F438">
        <v>-81.134902954101563</v>
      </c>
      <c r="G438">
        <v>226991</v>
      </c>
      <c r="H438">
        <v>902</v>
      </c>
      <c r="I438" t="s">
        <v>515</v>
      </c>
      <c r="J438">
        <v>8.3675804138183594</v>
      </c>
      <c r="K438">
        <v>-80.83270263671875</v>
      </c>
      <c r="L438">
        <v>11493</v>
      </c>
      <c r="M438">
        <v>90211</v>
      </c>
      <c r="N438" t="s">
        <v>525</v>
      </c>
      <c r="O438">
        <v>8.3817195892333984</v>
      </c>
      <c r="P438">
        <v>-80.857002258300781</v>
      </c>
      <c r="Q438">
        <v>585</v>
      </c>
    </row>
    <row r="439" spans="1:17" x14ac:dyDescent="0.25">
      <c r="A439">
        <v>428</v>
      </c>
      <c r="B439" t="str">
        <f t="shared" si="6"/>
        <v>San José</v>
      </c>
      <c r="C439">
        <v>9</v>
      </c>
      <c r="D439" t="s">
        <v>508</v>
      </c>
      <c r="E439">
        <v>8.0782098770141602</v>
      </c>
      <c r="F439">
        <v>-81.134902954101563</v>
      </c>
      <c r="G439">
        <v>226991</v>
      </c>
      <c r="H439">
        <v>902</v>
      </c>
      <c r="I439" t="s">
        <v>515</v>
      </c>
      <c r="J439">
        <v>8.3675804138183594</v>
      </c>
      <c r="K439">
        <v>-80.83270263671875</v>
      </c>
      <c r="L439">
        <v>11493</v>
      </c>
      <c r="M439">
        <v>90212</v>
      </c>
      <c r="N439" t="s">
        <v>402</v>
      </c>
      <c r="O439">
        <v>8.4594097137451172</v>
      </c>
      <c r="P439">
        <v>-80.792198181152344</v>
      </c>
      <c r="Q439">
        <v>680</v>
      </c>
    </row>
    <row r="440" spans="1:17" x14ac:dyDescent="0.25">
      <c r="A440">
        <v>429</v>
      </c>
      <c r="B440" t="str">
        <f t="shared" si="6"/>
        <v>Cañazas (Cabecera)</v>
      </c>
      <c r="C440">
        <v>9</v>
      </c>
      <c r="D440" t="s">
        <v>508</v>
      </c>
      <c r="E440">
        <v>8.0782098770141602</v>
      </c>
      <c r="F440">
        <v>-81.134902954101563</v>
      </c>
      <c r="G440">
        <v>226991</v>
      </c>
      <c r="H440">
        <v>903</v>
      </c>
      <c r="I440" t="s">
        <v>526</v>
      </c>
      <c r="J440">
        <v>8.3562498092651367</v>
      </c>
      <c r="K440">
        <v>-81.283401489257813</v>
      </c>
      <c r="L440">
        <v>16830</v>
      </c>
      <c r="M440">
        <v>90301</v>
      </c>
      <c r="N440" t="s">
        <v>527</v>
      </c>
      <c r="O440">
        <v>8.3168096542358398</v>
      </c>
      <c r="P440">
        <v>-81.222801208496094</v>
      </c>
      <c r="Q440">
        <v>4836</v>
      </c>
    </row>
    <row r="441" spans="1:17" x14ac:dyDescent="0.25">
      <c r="A441">
        <v>430</v>
      </c>
      <c r="B441" t="str">
        <f t="shared" si="6"/>
        <v>Cerro Plata</v>
      </c>
      <c r="C441">
        <v>9</v>
      </c>
      <c r="D441" t="s">
        <v>508</v>
      </c>
      <c r="E441">
        <v>8.0782098770141602</v>
      </c>
      <c r="F441">
        <v>-81.134902954101563</v>
      </c>
      <c r="G441">
        <v>226991</v>
      </c>
      <c r="H441">
        <v>903</v>
      </c>
      <c r="I441" t="s">
        <v>526</v>
      </c>
      <c r="J441">
        <v>8.3562498092651367</v>
      </c>
      <c r="K441">
        <v>-81.283401489257813</v>
      </c>
      <c r="L441">
        <v>16830</v>
      </c>
      <c r="M441">
        <v>90302</v>
      </c>
      <c r="N441" t="s">
        <v>528</v>
      </c>
      <c r="O441">
        <v>8.2858800888061523</v>
      </c>
      <c r="P441">
        <v>-81.355003356933594</v>
      </c>
      <c r="Q441">
        <v>1594</v>
      </c>
    </row>
    <row r="442" spans="1:17" x14ac:dyDescent="0.25">
      <c r="A442">
        <v>431</v>
      </c>
      <c r="B442" t="str">
        <f t="shared" si="6"/>
        <v>El Picador</v>
      </c>
      <c r="C442">
        <v>9</v>
      </c>
      <c r="D442" t="s">
        <v>508</v>
      </c>
      <c r="E442">
        <v>8.0782098770141602</v>
      </c>
      <c r="F442">
        <v>-81.134902954101563</v>
      </c>
      <c r="G442">
        <v>226991</v>
      </c>
      <c r="H442">
        <v>903</v>
      </c>
      <c r="I442" t="s">
        <v>526</v>
      </c>
      <c r="J442">
        <v>8.3562498092651367</v>
      </c>
      <c r="K442">
        <v>-81.283401489257813</v>
      </c>
      <c r="L442">
        <v>16830</v>
      </c>
      <c r="M442">
        <v>90303</v>
      </c>
      <c r="N442" t="s">
        <v>529</v>
      </c>
      <c r="O442">
        <v>8.4187898635864258</v>
      </c>
      <c r="P442">
        <v>-81.290802001953125</v>
      </c>
      <c r="Q442">
        <v>3065</v>
      </c>
    </row>
    <row r="443" spans="1:17" x14ac:dyDescent="0.25">
      <c r="A443">
        <v>432</v>
      </c>
      <c r="B443" t="str">
        <f t="shared" si="6"/>
        <v>Los Valles</v>
      </c>
      <c r="C443">
        <v>9</v>
      </c>
      <c r="D443" t="s">
        <v>508</v>
      </c>
      <c r="E443">
        <v>8.0782098770141602</v>
      </c>
      <c r="F443">
        <v>-81.134902954101563</v>
      </c>
      <c r="G443">
        <v>226991</v>
      </c>
      <c r="H443">
        <v>903</v>
      </c>
      <c r="I443" t="s">
        <v>526</v>
      </c>
      <c r="J443">
        <v>8.3562498092651367</v>
      </c>
      <c r="K443">
        <v>-81.283401489257813</v>
      </c>
      <c r="L443">
        <v>16830</v>
      </c>
      <c r="M443">
        <v>90304</v>
      </c>
      <c r="N443" t="s">
        <v>530</v>
      </c>
      <c r="O443">
        <v>8.4270000457763672</v>
      </c>
      <c r="P443">
        <v>-81.2073974609375</v>
      </c>
      <c r="Q443">
        <v>1200</v>
      </c>
    </row>
    <row r="444" spans="1:17" x14ac:dyDescent="0.25">
      <c r="A444">
        <v>433</v>
      </c>
      <c r="B444" t="str">
        <f t="shared" si="6"/>
        <v>San José</v>
      </c>
      <c r="C444">
        <v>9</v>
      </c>
      <c r="D444" t="s">
        <v>508</v>
      </c>
      <c r="E444">
        <v>8.0782098770141602</v>
      </c>
      <c r="F444">
        <v>-81.134902954101563</v>
      </c>
      <c r="G444">
        <v>226991</v>
      </c>
      <c r="H444">
        <v>903</v>
      </c>
      <c r="I444" t="s">
        <v>526</v>
      </c>
      <c r="J444">
        <v>8.3562498092651367</v>
      </c>
      <c r="K444">
        <v>-81.283401489257813</v>
      </c>
      <c r="L444">
        <v>16830</v>
      </c>
      <c r="M444">
        <v>90305</v>
      </c>
      <c r="N444" t="s">
        <v>402</v>
      </c>
      <c r="O444">
        <v>8.3711299896240234</v>
      </c>
      <c r="P444">
        <v>-81.4219970703125</v>
      </c>
      <c r="Q444">
        <v>1936</v>
      </c>
    </row>
    <row r="445" spans="1:17" x14ac:dyDescent="0.25">
      <c r="A445">
        <v>434</v>
      </c>
      <c r="B445" t="str">
        <f t="shared" si="6"/>
        <v>San Marcelo</v>
      </c>
      <c r="C445">
        <v>9</v>
      </c>
      <c r="D445" t="s">
        <v>508</v>
      </c>
      <c r="E445">
        <v>8.0782098770141602</v>
      </c>
      <c r="F445">
        <v>-81.134902954101563</v>
      </c>
      <c r="G445">
        <v>226991</v>
      </c>
      <c r="H445">
        <v>903</v>
      </c>
      <c r="I445" t="s">
        <v>526</v>
      </c>
      <c r="J445">
        <v>8.3562498092651367</v>
      </c>
      <c r="K445">
        <v>-81.283401489257813</v>
      </c>
      <c r="L445">
        <v>16830</v>
      </c>
      <c r="M445">
        <v>90306</v>
      </c>
      <c r="N445" t="s">
        <v>531</v>
      </c>
      <c r="O445">
        <v>8.2765798568725586</v>
      </c>
      <c r="P445">
        <v>-81.155502319335938</v>
      </c>
      <c r="Q445">
        <v>1476</v>
      </c>
    </row>
    <row r="446" spans="1:17" x14ac:dyDescent="0.25">
      <c r="A446">
        <v>435</v>
      </c>
      <c r="B446" t="str">
        <f t="shared" si="6"/>
        <v>El Aromillo</v>
      </c>
      <c r="C446">
        <v>9</v>
      </c>
      <c r="D446" t="s">
        <v>508</v>
      </c>
      <c r="E446">
        <v>8.0782098770141602</v>
      </c>
      <c r="F446">
        <v>-81.134902954101563</v>
      </c>
      <c r="G446">
        <v>226991</v>
      </c>
      <c r="H446">
        <v>903</v>
      </c>
      <c r="I446" t="s">
        <v>526</v>
      </c>
      <c r="J446">
        <v>8.3562498092651367</v>
      </c>
      <c r="K446">
        <v>-81.283401489257813</v>
      </c>
      <c r="L446">
        <v>16830</v>
      </c>
      <c r="M446">
        <v>90307</v>
      </c>
      <c r="N446" t="s">
        <v>532</v>
      </c>
      <c r="O446">
        <v>8.3568000793457031</v>
      </c>
      <c r="P446">
        <v>-81.150596618652344</v>
      </c>
      <c r="Q446">
        <v>1359</v>
      </c>
    </row>
    <row r="447" spans="1:17" x14ac:dyDescent="0.25">
      <c r="A447">
        <v>436</v>
      </c>
      <c r="B447" t="str">
        <f t="shared" si="6"/>
        <v>Las Cruces</v>
      </c>
      <c r="C447">
        <v>9</v>
      </c>
      <c r="D447" t="s">
        <v>508</v>
      </c>
      <c r="E447">
        <v>8.0782098770141602</v>
      </c>
      <c r="F447">
        <v>-81.134902954101563</v>
      </c>
      <c r="G447">
        <v>226991</v>
      </c>
      <c r="H447">
        <v>903</v>
      </c>
      <c r="I447" t="s">
        <v>526</v>
      </c>
      <c r="J447">
        <v>8.3562498092651367</v>
      </c>
      <c r="K447">
        <v>-81.283401489257813</v>
      </c>
      <c r="L447">
        <v>16830</v>
      </c>
      <c r="M447">
        <v>90308</v>
      </c>
      <c r="N447" t="s">
        <v>410</v>
      </c>
      <c r="O447">
        <v>8.3412199020385742</v>
      </c>
      <c r="P447">
        <v>-81.30999755859375</v>
      </c>
      <c r="Q447">
        <v>1364</v>
      </c>
    </row>
    <row r="448" spans="1:17" x14ac:dyDescent="0.25">
      <c r="A448">
        <v>437</v>
      </c>
      <c r="B448" t="str">
        <f t="shared" si="6"/>
        <v>La Mesa (Cabecera)</v>
      </c>
      <c r="C448">
        <v>9</v>
      </c>
      <c r="D448" t="s">
        <v>508</v>
      </c>
      <c r="E448">
        <v>8.0782098770141602</v>
      </c>
      <c r="F448">
        <v>-81.134902954101563</v>
      </c>
      <c r="G448">
        <v>226991</v>
      </c>
      <c r="H448">
        <v>904</v>
      </c>
      <c r="I448" t="s">
        <v>425</v>
      </c>
      <c r="J448">
        <v>8.168370246887207</v>
      </c>
      <c r="K448">
        <v>-81.225196838378906</v>
      </c>
      <c r="L448">
        <v>11631</v>
      </c>
      <c r="M448">
        <v>90401</v>
      </c>
      <c r="N448" t="s">
        <v>533</v>
      </c>
      <c r="O448">
        <v>8.1446599960327148</v>
      </c>
      <c r="P448">
        <v>-81.187599182128906</v>
      </c>
      <c r="Q448">
        <v>3338</v>
      </c>
    </row>
    <row r="449" spans="1:17" x14ac:dyDescent="0.25">
      <c r="A449">
        <v>438</v>
      </c>
      <c r="B449" t="str">
        <f t="shared" si="6"/>
        <v>Bisvalles</v>
      </c>
      <c r="C449">
        <v>9</v>
      </c>
      <c r="D449" t="s">
        <v>508</v>
      </c>
      <c r="E449">
        <v>8.0782098770141602</v>
      </c>
      <c r="F449">
        <v>-81.134902954101563</v>
      </c>
      <c r="G449">
        <v>226991</v>
      </c>
      <c r="H449">
        <v>904</v>
      </c>
      <c r="I449" t="s">
        <v>425</v>
      </c>
      <c r="J449">
        <v>8.168370246887207</v>
      </c>
      <c r="K449">
        <v>-81.225196838378906</v>
      </c>
      <c r="L449">
        <v>11631</v>
      </c>
      <c r="M449">
        <v>90402</v>
      </c>
      <c r="N449" t="s">
        <v>534</v>
      </c>
      <c r="O449">
        <v>8.21343994140625</v>
      </c>
      <c r="P449">
        <v>-81.223098754882813</v>
      </c>
      <c r="Q449">
        <v>2185</v>
      </c>
    </row>
    <row r="450" spans="1:17" x14ac:dyDescent="0.25">
      <c r="A450">
        <v>439</v>
      </c>
      <c r="B450" t="str">
        <f t="shared" si="6"/>
        <v>Boró</v>
      </c>
      <c r="C450">
        <v>9</v>
      </c>
      <c r="D450" t="s">
        <v>508</v>
      </c>
      <c r="E450">
        <v>8.0782098770141602</v>
      </c>
      <c r="F450">
        <v>-81.134902954101563</v>
      </c>
      <c r="G450">
        <v>226991</v>
      </c>
      <c r="H450">
        <v>904</v>
      </c>
      <c r="I450" t="s">
        <v>425</v>
      </c>
      <c r="J450">
        <v>8.168370246887207</v>
      </c>
      <c r="K450">
        <v>-81.225196838378906</v>
      </c>
      <c r="L450">
        <v>11631</v>
      </c>
      <c r="M450">
        <v>90403</v>
      </c>
      <c r="N450" t="s">
        <v>535</v>
      </c>
      <c r="O450">
        <v>8.1667404174804688</v>
      </c>
      <c r="P450">
        <v>-81.307098388671875</v>
      </c>
      <c r="Q450">
        <v>1757</v>
      </c>
    </row>
    <row r="451" spans="1:17" x14ac:dyDescent="0.25">
      <c r="A451">
        <v>440</v>
      </c>
      <c r="B451" t="str">
        <f t="shared" si="6"/>
        <v>Llano Grande</v>
      </c>
      <c r="C451">
        <v>9</v>
      </c>
      <c r="D451" t="s">
        <v>508</v>
      </c>
      <c r="E451">
        <v>8.0782098770141602</v>
      </c>
      <c r="F451">
        <v>-81.134902954101563</v>
      </c>
      <c r="G451">
        <v>226991</v>
      </c>
      <c r="H451">
        <v>904</v>
      </c>
      <c r="I451" t="s">
        <v>425</v>
      </c>
      <c r="J451">
        <v>8.168370246887207</v>
      </c>
      <c r="K451">
        <v>-81.225196838378906</v>
      </c>
      <c r="L451">
        <v>11631</v>
      </c>
      <c r="M451">
        <v>90404</v>
      </c>
      <c r="N451" t="s">
        <v>138</v>
      </c>
      <c r="O451">
        <v>8.0902595520019531</v>
      </c>
      <c r="P451">
        <v>-81.141700744628906</v>
      </c>
      <c r="Q451">
        <v>815</v>
      </c>
    </row>
    <row r="452" spans="1:17" x14ac:dyDescent="0.25">
      <c r="A452">
        <v>441</v>
      </c>
      <c r="B452" t="str">
        <f t="shared" si="6"/>
        <v>San Bartolo</v>
      </c>
      <c r="C452">
        <v>9</v>
      </c>
      <c r="D452" t="s">
        <v>508</v>
      </c>
      <c r="E452">
        <v>8.0782098770141602</v>
      </c>
      <c r="F452">
        <v>-81.134902954101563</v>
      </c>
      <c r="G452">
        <v>226991</v>
      </c>
      <c r="H452">
        <v>904</v>
      </c>
      <c r="I452" t="s">
        <v>425</v>
      </c>
      <c r="J452">
        <v>8.168370246887207</v>
      </c>
      <c r="K452">
        <v>-81.225196838378906</v>
      </c>
      <c r="L452">
        <v>11631</v>
      </c>
      <c r="M452">
        <v>90405</v>
      </c>
      <c r="N452" t="s">
        <v>536</v>
      </c>
      <c r="O452">
        <v>8.2230701446533203</v>
      </c>
      <c r="P452">
        <v>-81.283302307128906</v>
      </c>
      <c r="Q452">
        <v>2440</v>
      </c>
    </row>
    <row r="453" spans="1:17" x14ac:dyDescent="0.25">
      <c r="A453">
        <v>442</v>
      </c>
      <c r="B453" t="str">
        <f t="shared" si="6"/>
        <v>Los Milagros</v>
      </c>
      <c r="C453">
        <v>9</v>
      </c>
      <c r="D453" t="s">
        <v>508</v>
      </c>
      <c r="E453">
        <v>8.0782098770141602</v>
      </c>
      <c r="F453">
        <v>-81.134902954101563</v>
      </c>
      <c r="G453">
        <v>226991</v>
      </c>
      <c r="H453">
        <v>904</v>
      </c>
      <c r="I453" t="s">
        <v>425</v>
      </c>
      <c r="J453">
        <v>8.168370246887207</v>
      </c>
      <c r="K453">
        <v>-81.225196838378906</v>
      </c>
      <c r="L453">
        <v>11631</v>
      </c>
      <c r="M453">
        <v>90406</v>
      </c>
      <c r="N453" t="s">
        <v>537</v>
      </c>
      <c r="O453">
        <v>8.1593599319458008</v>
      </c>
      <c r="P453">
        <v>-81.112503051757813</v>
      </c>
      <c r="Q453">
        <v>1096</v>
      </c>
    </row>
    <row r="454" spans="1:17" x14ac:dyDescent="0.25">
      <c r="A454">
        <v>443</v>
      </c>
      <c r="B454" t="str">
        <f t="shared" si="6"/>
        <v>Las Palmas (Cabecera)</v>
      </c>
      <c r="C454">
        <v>9</v>
      </c>
      <c r="D454" t="s">
        <v>508</v>
      </c>
      <c r="E454">
        <v>8.0782098770141602</v>
      </c>
      <c r="F454">
        <v>-81.134902954101563</v>
      </c>
      <c r="G454">
        <v>226991</v>
      </c>
      <c r="H454">
        <v>905</v>
      </c>
      <c r="I454" t="s">
        <v>426</v>
      </c>
      <c r="J454">
        <v>8.0769996643066406</v>
      </c>
      <c r="K454">
        <v>-81.51080322265625</v>
      </c>
      <c r="L454">
        <v>17566</v>
      </c>
      <c r="M454">
        <v>90501</v>
      </c>
      <c r="N454" t="s">
        <v>538</v>
      </c>
      <c r="O454">
        <v>8.1341896057128906</v>
      </c>
      <c r="P454">
        <v>-81.457603454589844</v>
      </c>
      <c r="Q454">
        <v>3106</v>
      </c>
    </row>
    <row r="455" spans="1:17" x14ac:dyDescent="0.25">
      <c r="A455">
        <v>444</v>
      </c>
      <c r="B455" t="str">
        <f t="shared" si="6"/>
        <v>Cerro de Casa</v>
      </c>
      <c r="C455">
        <v>9</v>
      </c>
      <c r="D455" t="s">
        <v>508</v>
      </c>
      <c r="E455">
        <v>8.0782098770141602</v>
      </c>
      <c r="F455">
        <v>-81.134902954101563</v>
      </c>
      <c r="G455">
        <v>226991</v>
      </c>
      <c r="H455">
        <v>905</v>
      </c>
      <c r="I455" t="s">
        <v>426</v>
      </c>
      <c r="J455">
        <v>8.0769996643066406</v>
      </c>
      <c r="K455">
        <v>-81.51080322265625</v>
      </c>
      <c r="L455">
        <v>17566</v>
      </c>
      <c r="M455">
        <v>90502</v>
      </c>
      <c r="N455" t="s">
        <v>539</v>
      </c>
      <c r="O455">
        <v>8.1192197799682617</v>
      </c>
      <c r="P455">
        <v>-81.57330322265625</v>
      </c>
      <c r="Q455">
        <v>2343</v>
      </c>
    </row>
    <row r="456" spans="1:17" x14ac:dyDescent="0.25">
      <c r="A456">
        <v>445</v>
      </c>
      <c r="B456" t="str">
        <f t="shared" si="6"/>
        <v>Corozal</v>
      </c>
      <c r="C456">
        <v>9</v>
      </c>
      <c r="D456" t="s">
        <v>508</v>
      </c>
      <c r="E456">
        <v>8.0782098770141602</v>
      </c>
      <c r="F456">
        <v>-81.134902954101563</v>
      </c>
      <c r="G456">
        <v>226991</v>
      </c>
      <c r="H456">
        <v>905</v>
      </c>
      <c r="I456" t="s">
        <v>426</v>
      </c>
      <c r="J456">
        <v>8.0769996643066406</v>
      </c>
      <c r="K456">
        <v>-81.51080322265625</v>
      </c>
      <c r="L456">
        <v>17566</v>
      </c>
      <c r="M456">
        <v>90503</v>
      </c>
      <c r="N456" t="s">
        <v>422</v>
      </c>
      <c r="O456">
        <v>8.0762100219726563</v>
      </c>
      <c r="P456">
        <v>-81.417701721191406</v>
      </c>
      <c r="Q456">
        <v>920</v>
      </c>
    </row>
    <row r="457" spans="1:17" x14ac:dyDescent="0.25">
      <c r="A457">
        <v>446</v>
      </c>
      <c r="B457" t="str">
        <f t="shared" si="6"/>
        <v>El María</v>
      </c>
      <c r="C457">
        <v>9</v>
      </c>
      <c r="D457" t="s">
        <v>508</v>
      </c>
      <c r="E457">
        <v>8.0782098770141602</v>
      </c>
      <c r="F457">
        <v>-81.134902954101563</v>
      </c>
      <c r="G457">
        <v>226991</v>
      </c>
      <c r="H457">
        <v>905</v>
      </c>
      <c r="I457" t="s">
        <v>426</v>
      </c>
      <c r="J457">
        <v>8.0769996643066406</v>
      </c>
      <c r="K457">
        <v>-81.51080322265625</v>
      </c>
      <c r="L457">
        <v>17566</v>
      </c>
      <c r="M457">
        <v>90504</v>
      </c>
      <c r="N457" t="s">
        <v>540</v>
      </c>
      <c r="O457">
        <v>7.9992198944091797</v>
      </c>
      <c r="P457">
        <v>-81.458702087402344</v>
      </c>
      <c r="Q457">
        <v>1077</v>
      </c>
    </row>
    <row r="458" spans="1:17" x14ac:dyDescent="0.25">
      <c r="A458">
        <v>447</v>
      </c>
      <c r="B458" t="str">
        <f t="shared" si="6"/>
        <v>El Prado</v>
      </c>
      <c r="C458">
        <v>9</v>
      </c>
      <c r="D458" t="s">
        <v>508</v>
      </c>
      <c r="E458">
        <v>8.0782098770141602</v>
      </c>
      <c r="F458">
        <v>-81.134902954101563</v>
      </c>
      <c r="G458">
        <v>226991</v>
      </c>
      <c r="H458">
        <v>905</v>
      </c>
      <c r="I458" t="s">
        <v>426</v>
      </c>
      <c r="J458">
        <v>8.0769996643066406</v>
      </c>
      <c r="K458">
        <v>-81.51080322265625</v>
      </c>
      <c r="L458">
        <v>17566</v>
      </c>
      <c r="M458">
        <v>90505</v>
      </c>
      <c r="N458" t="s">
        <v>541</v>
      </c>
      <c r="O458">
        <v>8.2261104583740234</v>
      </c>
      <c r="P458">
        <v>-81.487998962402344</v>
      </c>
      <c r="Q458">
        <v>1074</v>
      </c>
    </row>
    <row r="459" spans="1:17" x14ac:dyDescent="0.25">
      <c r="A459">
        <v>448</v>
      </c>
      <c r="B459" t="str">
        <f t="shared" si="6"/>
        <v>El Rincón</v>
      </c>
      <c r="C459">
        <v>9</v>
      </c>
      <c r="D459" t="s">
        <v>508</v>
      </c>
      <c r="E459">
        <v>8.0782098770141602</v>
      </c>
      <c r="F459">
        <v>-81.134902954101563</v>
      </c>
      <c r="G459">
        <v>226991</v>
      </c>
      <c r="H459">
        <v>905</v>
      </c>
      <c r="I459" t="s">
        <v>426</v>
      </c>
      <c r="J459">
        <v>8.0769996643066406</v>
      </c>
      <c r="K459">
        <v>-81.51080322265625</v>
      </c>
      <c r="L459">
        <v>17566</v>
      </c>
      <c r="M459">
        <v>90506</v>
      </c>
      <c r="N459" t="s">
        <v>371</v>
      </c>
      <c r="O459">
        <v>8.2211599349975586</v>
      </c>
      <c r="P459">
        <v>-81.413902282714844</v>
      </c>
      <c r="Q459">
        <v>2574</v>
      </c>
    </row>
    <row r="460" spans="1:17" x14ac:dyDescent="0.25">
      <c r="A460">
        <v>449</v>
      </c>
      <c r="B460" t="str">
        <f t="shared" ref="B460:B523" si="7">+N460</f>
        <v>Lolá</v>
      </c>
      <c r="C460">
        <v>9</v>
      </c>
      <c r="D460" t="s">
        <v>508</v>
      </c>
      <c r="E460">
        <v>8.0782098770141602</v>
      </c>
      <c r="F460">
        <v>-81.134902954101563</v>
      </c>
      <c r="G460">
        <v>226991</v>
      </c>
      <c r="H460">
        <v>905</v>
      </c>
      <c r="I460" t="s">
        <v>426</v>
      </c>
      <c r="J460">
        <v>8.0769996643066406</v>
      </c>
      <c r="K460">
        <v>-81.51080322265625</v>
      </c>
      <c r="L460">
        <v>17566</v>
      </c>
      <c r="M460">
        <v>90507</v>
      </c>
      <c r="N460" t="s">
        <v>542</v>
      </c>
      <c r="O460">
        <v>8.0901803970336914</v>
      </c>
      <c r="P460">
        <v>-81.490501403808594</v>
      </c>
      <c r="Q460">
        <v>946</v>
      </c>
    </row>
    <row r="461" spans="1:17" x14ac:dyDescent="0.25">
      <c r="A461">
        <v>450</v>
      </c>
      <c r="B461" t="str">
        <f t="shared" si="7"/>
        <v>Pixvae</v>
      </c>
      <c r="C461">
        <v>9</v>
      </c>
      <c r="D461" t="s">
        <v>508</v>
      </c>
      <c r="E461">
        <v>8.0782098770141602</v>
      </c>
      <c r="F461">
        <v>-81.134902954101563</v>
      </c>
      <c r="G461">
        <v>226991</v>
      </c>
      <c r="H461">
        <v>905</v>
      </c>
      <c r="I461" t="s">
        <v>426</v>
      </c>
      <c r="J461">
        <v>8.0769996643066406</v>
      </c>
      <c r="K461">
        <v>-81.51080322265625</v>
      </c>
      <c r="L461">
        <v>17566</v>
      </c>
      <c r="M461">
        <v>90508</v>
      </c>
      <c r="N461" t="s">
        <v>543</v>
      </c>
      <c r="O461">
        <v>7.8818697929382324</v>
      </c>
      <c r="P461">
        <v>-81.5802001953125</v>
      </c>
      <c r="Q461">
        <v>820</v>
      </c>
    </row>
    <row r="462" spans="1:17" x14ac:dyDescent="0.25">
      <c r="A462">
        <v>451</v>
      </c>
      <c r="B462" t="str">
        <f t="shared" si="7"/>
        <v>Puerto Vidal</v>
      </c>
      <c r="C462">
        <v>9</v>
      </c>
      <c r="D462" t="s">
        <v>508</v>
      </c>
      <c r="E462">
        <v>8.0782098770141602</v>
      </c>
      <c r="F462">
        <v>-81.134902954101563</v>
      </c>
      <c r="G462">
        <v>226991</v>
      </c>
      <c r="H462">
        <v>905</v>
      </c>
      <c r="I462" t="s">
        <v>426</v>
      </c>
      <c r="J462">
        <v>8.0769996643066406</v>
      </c>
      <c r="K462">
        <v>-81.51080322265625</v>
      </c>
      <c r="L462">
        <v>17566</v>
      </c>
      <c r="M462">
        <v>90509</v>
      </c>
      <c r="N462" t="s">
        <v>544</v>
      </c>
      <c r="O462">
        <v>8.0300798416137695</v>
      </c>
      <c r="P462">
        <v>-81.596397399902344</v>
      </c>
      <c r="Q462">
        <v>1671</v>
      </c>
    </row>
    <row r="463" spans="1:17" x14ac:dyDescent="0.25">
      <c r="A463">
        <v>452</v>
      </c>
      <c r="B463" t="str">
        <f t="shared" si="7"/>
        <v>San Martín de Porres</v>
      </c>
      <c r="C463">
        <v>9</v>
      </c>
      <c r="D463" t="s">
        <v>508</v>
      </c>
      <c r="E463">
        <v>8.0782098770141602</v>
      </c>
      <c r="F463">
        <v>-81.134902954101563</v>
      </c>
      <c r="G463">
        <v>226991</v>
      </c>
      <c r="H463">
        <v>905</v>
      </c>
      <c r="I463" t="s">
        <v>426</v>
      </c>
      <c r="J463">
        <v>8.0769996643066406</v>
      </c>
      <c r="K463">
        <v>-81.51080322265625</v>
      </c>
      <c r="L463">
        <v>17566</v>
      </c>
      <c r="M463">
        <v>90510</v>
      </c>
      <c r="N463" t="s">
        <v>545</v>
      </c>
      <c r="O463">
        <v>8.1990699768066406</v>
      </c>
      <c r="P463">
        <v>-81.536598205566406</v>
      </c>
      <c r="Q463">
        <v>1004</v>
      </c>
    </row>
    <row r="464" spans="1:17" x14ac:dyDescent="0.25">
      <c r="A464">
        <v>453</v>
      </c>
      <c r="B464" t="str">
        <f t="shared" si="7"/>
        <v>Viguí</v>
      </c>
      <c r="C464">
        <v>9</v>
      </c>
      <c r="D464" t="s">
        <v>508</v>
      </c>
      <c r="E464">
        <v>8.0782098770141602</v>
      </c>
      <c r="F464">
        <v>-81.134902954101563</v>
      </c>
      <c r="G464">
        <v>226991</v>
      </c>
      <c r="H464">
        <v>905</v>
      </c>
      <c r="I464" t="s">
        <v>426</v>
      </c>
      <c r="J464">
        <v>8.0769996643066406</v>
      </c>
      <c r="K464">
        <v>-81.51080322265625</v>
      </c>
      <c r="L464">
        <v>17566</v>
      </c>
      <c r="M464">
        <v>90511</v>
      </c>
      <c r="N464" t="s">
        <v>546</v>
      </c>
      <c r="O464">
        <v>8.3377504348754883</v>
      </c>
      <c r="P464">
        <v>-81.500396728515625</v>
      </c>
      <c r="Q464">
        <v>964</v>
      </c>
    </row>
    <row r="465" spans="1:17" x14ac:dyDescent="0.25">
      <c r="A465">
        <v>454</v>
      </c>
      <c r="B465" t="str">
        <f t="shared" si="7"/>
        <v>Zapotillo</v>
      </c>
      <c r="C465">
        <v>9</v>
      </c>
      <c r="D465" t="s">
        <v>508</v>
      </c>
      <c r="E465">
        <v>8.0782098770141602</v>
      </c>
      <c r="F465">
        <v>-81.134902954101563</v>
      </c>
      <c r="G465">
        <v>226991</v>
      </c>
      <c r="H465">
        <v>905</v>
      </c>
      <c r="I465" t="s">
        <v>426</v>
      </c>
      <c r="J465">
        <v>8.0769996643066406</v>
      </c>
      <c r="K465">
        <v>-81.51080322265625</v>
      </c>
      <c r="L465">
        <v>17566</v>
      </c>
      <c r="M465">
        <v>90512</v>
      </c>
      <c r="N465" t="s">
        <v>547</v>
      </c>
      <c r="O465">
        <v>7.9681501388549805</v>
      </c>
      <c r="P465">
        <v>-81.536003112792969</v>
      </c>
      <c r="Q465">
        <v>1067</v>
      </c>
    </row>
    <row r="466" spans="1:17" x14ac:dyDescent="0.25">
      <c r="A466">
        <v>455</v>
      </c>
      <c r="B466" t="str">
        <f t="shared" si="7"/>
        <v>Montijo (Cabecera)</v>
      </c>
      <c r="C466">
        <v>9</v>
      </c>
      <c r="D466" t="s">
        <v>508</v>
      </c>
      <c r="E466">
        <v>8.0782098770141602</v>
      </c>
      <c r="F466">
        <v>-81.134902954101563</v>
      </c>
      <c r="G466">
        <v>226991</v>
      </c>
      <c r="H466">
        <v>906</v>
      </c>
      <c r="I466" t="s">
        <v>548</v>
      </c>
      <c r="J466">
        <v>7.5761699676513672</v>
      </c>
      <c r="K466">
        <v>-81.543197631835938</v>
      </c>
      <c r="L466">
        <v>6572</v>
      </c>
      <c r="M466">
        <v>90601</v>
      </c>
      <c r="N466" t="s">
        <v>549</v>
      </c>
      <c r="O466">
        <v>7.9924502372741699</v>
      </c>
      <c r="P466">
        <v>-81.048301696777344</v>
      </c>
      <c r="Q466">
        <v>2288</v>
      </c>
    </row>
    <row r="467" spans="1:17" x14ac:dyDescent="0.25">
      <c r="A467">
        <v>456</v>
      </c>
      <c r="B467" t="str">
        <f t="shared" si="7"/>
        <v>Gobernadora</v>
      </c>
      <c r="C467">
        <v>9</v>
      </c>
      <c r="D467" t="s">
        <v>508</v>
      </c>
      <c r="E467">
        <v>8.0782098770141602</v>
      </c>
      <c r="F467">
        <v>-81.134902954101563</v>
      </c>
      <c r="G467">
        <v>226991</v>
      </c>
      <c r="H467">
        <v>906</v>
      </c>
      <c r="I467" t="s">
        <v>548</v>
      </c>
      <c r="J467">
        <v>7.5761699676513672</v>
      </c>
      <c r="K467">
        <v>-81.543197631835938</v>
      </c>
      <c r="L467">
        <v>6572</v>
      </c>
      <c r="M467">
        <v>90602</v>
      </c>
      <c r="N467" t="s">
        <v>550</v>
      </c>
      <c r="O467">
        <v>7.4652700424194336</v>
      </c>
      <c r="P467">
        <v>-81.750701904296875</v>
      </c>
      <c r="Q467">
        <v>269</v>
      </c>
    </row>
    <row r="468" spans="1:17" x14ac:dyDescent="0.25">
      <c r="A468">
        <v>457</v>
      </c>
      <c r="B468" t="str">
        <f t="shared" si="7"/>
        <v>La Garceana</v>
      </c>
      <c r="C468">
        <v>9</v>
      </c>
      <c r="D468" t="s">
        <v>508</v>
      </c>
      <c r="E468">
        <v>8.0782098770141602</v>
      </c>
      <c r="F468">
        <v>-81.134902954101563</v>
      </c>
      <c r="G468">
        <v>226991</v>
      </c>
      <c r="H468">
        <v>906</v>
      </c>
      <c r="I468" t="s">
        <v>548</v>
      </c>
      <c r="J468">
        <v>7.5761699676513672</v>
      </c>
      <c r="K468">
        <v>-81.543197631835938</v>
      </c>
      <c r="L468">
        <v>6572</v>
      </c>
      <c r="M468">
        <v>90603</v>
      </c>
      <c r="N468" t="s">
        <v>551</v>
      </c>
      <c r="O468">
        <v>7.9238400459289551</v>
      </c>
      <c r="P468">
        <v>-81.034103393554688</v>
      </c>
      <c r="Q468">
        <v>276</v>
      </c>
    </row>
    <row r="469" spans="1:17" x14ac:dyDescent="0.25">
      <c r="A469">
        <v>458</v>
      </c>
      <c r="B469" t="str">
        <f t="shared" si="7"/>
        <v>Leones</v>
      </c>
      <c r="C469">
        <v>9</v>
      </c>
      <c r="D469" t="s">
        <v>508</v>
      </c>
      <c r="E469">
        <v>8.0782098770141602</v>
      </c>
      <c r="F469">
        <v>-81.134902954101563</v>
      </c>
      <c r="G469">
        <v>226991</v>
      </c>
      <c r="H469">
        <v>906</v>
      </c>
      <c r="I469" t="s">
        <v>548</v>
      </c>
      <c r="J469">
        <v>7.5761699676513672</v>
      </c>
      <c r="K469">
        <v>-81.543197631835938</v>
      </c>
      <c r="L469">
        <v>6572</v>
      </c>
      <c r="M469">
        <v>90604</v>
      </c>
      <c r="N469" t="s">
        <v>333</v>
      </c>
      <c r="O469">
        <v>7.760429859161377</v>
      </c>
      <c r="P469">
        <v>-81.112098693847656</v>
      </c>
      <c r="Q469">
        <v>224</v>
      </c>
    </row>
    <row r="470" spans="1:17" x14ac:dyDescent="0.25">
      <c r="A470">
        <v>459</v>
      </c>
      <c r="B470" t="str">
        <f t="shared" si="7"/>
        <v>Pilón</v>
      </c>
      <c r="C470">
        <v>9</v>
      </c>
      <c r="D470" t="s">
        <v>508</v>
      </c>
      <c r="E470">
        <v>8.0782098770141602</v>
      </c>
      <c r="F470">
        <v>-81.134902954101563</v>
      </c>
      <c r="G470">
        <v>226991</v>
      </c>
      <c r="H470">
        <v>906</v>
      </c>
      <c r="I470" t="s">
        <v>548</v>
      </c>
      <c r="J470">
        <v>7.5761699676513672</v>
      </c>
      <c r="K470">
        <v>-81.543197631835938</v>
      </c>
      <c r="L470">
        <v>6572</v>
      </c>
      <c r="M470">
        <v>90605</v>
      </c>
      <c r="N470" t="s">
        <v>552</v>
      </c>
      <c r="O470">
        <v>7.9621901512145996</v>
      </c>
      <c r="P470">
        <v>-81.092597961425781</v>
      </c>
      <c r="Q470">
        <v>890</v>
      </c>
    </row>
    <row r="471" spans="1:17" x14ac:dyDescent="0.25">
      <c r="A471">
        <v>460</v>
      </c>
      <c r="B471" t="str">
        <f t="shared" si="7"/>
        <v>Cébaco</v>
      </c>
      <c r="C471">
        <v>9</v>
      </c>
      <c r="D471" t="s">
        <v>508</v>
      </c>
      <c r="E471">
        <v>8.0782098770141602</v>
      </c>
      <c r="F471">
        <v>-81.134902954101563</v>
      </c>
      <c r="G471">
        <v>226991</v>
      </c>
      <c r="H471">
        <v>906</v>
      </c>
      <c r="I471" t="s">
        <v>548</v>
      </c>
      <c r="J471">
        <v>7.5761699676513672</v>
      </c>
      <c r="K471">
        <v>-81.543197631835938</v>
      </c>
      <c r="L471">
        <v>6572</v>
      </c>
      <c r="M471">
        <v>90606</v>
      </c>
      <c r="N471" t="s">
        <v>553</v>
      </c>
      <c r="O471">
        <v>7.5383601188659668</v>
      </c>
      <c r="P471">
        <v>-81.142097473144531</v>
      </c>
      <c r="Q471">
        <v>378</v>
      </c>
    </row>
    <row r="472" spans="1:17" x14ac:dyDescent="0.25">
      <c r="A472">
        <v>461</v>
      </c>
      <c r="B472" t="str">
        <f t="shared" si="7"/>
        <v>Costa Hermosa</v>
      </c>
      <c r="C472">
        <v>9</v>
      </c>
      <c r="D472" t="s">
        <v>508</v>
      </c>
      <c r="E472">
        <v>8.0782098770141602</v>
      </c>
      <c r="F472">
        <v>-81.134902954101563</v>
      </c>
      <c r="G472">
        <v>226991</v>
      </c>
      <c r="H472">
        <v>906</v>
      </c>
      <c r="I472" t="s">
        <v>548</v>
      </c>
      <c r="J472">
        <v>7.5761699676513672</v>
      </c>
      <c r="K472">
        <v>-81.543197631835938</v>
      </c>
      <c r="L472">
        <v>6572</v>
      </c>
      <c r="M472">
        <v>90607</v>
      </c>
      <c r="N472" t="s">
        <v>554</v>
      </c>
      <c r="O472">
        <v>7.9369401931762695</v>
      </c>
      <c r="P472">
        <v>-81.059196472167969</v>
      </c>
      <c r="Q472">
        <v>1550</v>
      </c>
    </row>
    <row r="473" spans="1:17" x14ac:dyDescent="0.25">
      <c r="A473">
        <v>462</v>
      </c>
      <c r="B473" t="str">
        <f t="shared" si="7"/>
        <v>Unión del Norte</v>
      </c>
      <c r="C473">
        <v>9</v>
      </c>
      <c r="D473" t="s">
        <v>508</v>
      </c>
      <c r="E473">
        <v>8.0782098770141602</v>
      </c>
      <c r="F473">
        <v>-81.134902954101563</v>
      </c>
      <c r="G473">
        <v>226991</v>
      </c>
      <c r="H473">
        <v>906</v>
      </c>
      <c r="I473" t="s">
        <v>548</v>
      </c>
      <c r="J473">
        <v>7.5761699676513672</v>
      </c>
      <c r="K473">
        <v>-81.543197631835938</v>
      </c>
      <c r="L473">
        <v>6572</v>
      </c>
      <c r="M473">
        <v>90608</v>
      </c>
      <c r="N473" t="s">
        <v>555</v>
      </c>
      <c r="O473">
        <v>8.0235300064086914</v>
      </c>
      <c r="P473">
        <v>-81.077796936035156</v>
      </c>
      <c r="Q473">
        <v>697</v>
      </c>
    </row>
    <row r="474" spans="1:17" x14ac:dyDescent="0.25">
      <c r="A474">
        <v>463</v>
      </c>
      <c r="B474" t="str">
        <f t="shared" si="7"/>
        <v>Río de Jesús (Cabecera)</v>
      </c>
      <c r="C474">
        <v>9</v>
      </c>
      <c r="D474" t="s">
        <v>508</v>
      </c>
      <c r="E474">
        <v>8.0782098770141602</v>
      </c>
      <c r="F474">
        <v>-81.134902954101563</v>
      </c>
      <c r="G474">
        <v>226991</v>
      </c>
      <c r="H474">
        <v>907</v>
      </c>
      <c r="I474" t="s">
        <v>556</v>
      </c>
      <c r="J474">
        <v>7.9534401893615723</v>
      </c>
      <c r="K474">
        <v>-81.156097412109375</v>
      </c>
      <c r="L474">
        <v>5102</v>
      </c>
      <c r="M474">
        <v>90701</v>
      </c>
      <c r="N474" t="s">
        <v>557</v>
      </c>
      <c r="O474">
        <v>7.9968600273132324</v>
      </c>
      <c r="P474">
        <v>-81.165000915527344</v>
      </c>
      <c r="Q474">
        <v>2484</v>
      </c>
    </row>
    <row r="475" spans="1:17" x14ac:dyDescent="0.25">
      <c r="A475">
        <v>464</v>
      </c>
      <c r="B475" t="str">
        <f t="shared" si="7"/>
        <v>Las Huacas</v>
      </c>
      <c r="C475">
        <v>9</v>
      </c>
      <c r="D475" t="s">
        <v>508</v>
      </c>
      <c r="E475">
        <v>8.0782098770141602</v>
      </c>
      <c r="F475">
        <v>-81.134902954101563</v>
      </c>
      <c r="G475">
        <v>226991</v>
      </c>
      <c r="H475">
        <v>907</v>
      </c>
      <c r="I475" t="s">
        <v>556</v>
      </c>
      <c r="J475">
        <v>7.9534401893615723</v>
      </c>
      <c r="K475">
        <v>-81.156097412109375</v>
      </c>
      <c r="L475">
        <v>5102</v>
      </c>
      <c r="M475">
        <v>90702</v>
      </c>
      <c r="N475" t="s">
        <v>146</v>
      </c>
      <c r="O475">
        <v>7.8885002136230469</v>
      </c>
      <c r="P475">
        <v>-81.154502868652344</v>
      </c>
      <c r="Q475">
        <v>965</v>
      </c>
    </row>
    <row r="476" spans="1:17" x14ac:dyDescent="0.25">
      <c r="A476">
        <v>465</v>
      </c>
      <c r="B476" t="str">
        <f t="shared" si="7"/>
        <v>Los Castillos</v>
      </c>
      <c r="C476">
        <v>9</v>
      </c>
      <c r="D476" t="s">
        <v>508</v>
      </c>
      <c r="E476">
        <v>8.0782098770141602</v>
      </c>
      <c r="F476">
        <v>-81.134902954101563</v>
      </c>
      <c r="G476">
        <v>226991</v>
      </c>
      <c r="H476">
        <v>907</v>
      </c>
      <c r="I476" t="s">
        <v>556</v>
      </c>
      <c r="J476">
        <v>7.9534401893615723</v>
      </c>
      <c r="K476">
        <v>-81.156097412109375</v>
      </c>
      <c r="L476">
        <v>5102</v>
      </c>
      <c r="M476">
        <v>90703</v>
      </c>
      <c r="N476" t="s">
        <v>354</v>
      </c>
      <c r="O476">
        <v>8.0294399261474609</v>
      </c>
      <c r="P476">
        <v>-81.113899230957031</v>
      </c>
      <c r="Q476">
        <v>552</v>
      </c>
    </row>
    <row r="477" spans="1:17" x14ac:dyDescent="0.25">
      <c r="A477">
        <v>466</v>
      </c>
      <c r="B477" t="str">
        <f t="shared" si="7"/>
        <v>Utirá</v>
      </c>
      <c r="C477">
        <v>9</v>
      </c>
      <c r="D477" t="s">
        <v>508</v>
      </c>
      <c r="E477">
        <v>8.0782098770141602</v>
      </c>
      <c r="F477">
        <v>-81.134902954101563</v>
      </c>
      <c r="G477">
        <v>226991</v>
      </c>
      <c r="H477">
        <v>907</v>
      </c>
      <c r="I477" t="s">
        <v>556</v>
      </c>
      <c r="J477">
        <v>7.9534401893615723</v>
      </c>
      <c r="K477">
        <v>-81.156097412109375</v>
      </c>
      <c r="L477">
        <v>5102</v>
      </c>
      <c r="M477">
        <v>90704</v>
      </c>
      <c r="N477" t="s">
        <v>558</v>
      </c>
      <c r="O477">
        <v>7.9710698127746582</v>
      </c>
      <c r="P477">
        <v>-81.21600341796875</v>
      </c>
      <c r="Q477">
        <v>314</v>
      </c>
    </row>
    <row r="478" spans="1:17" x14ac:dyDescent="0.25">
      <c r="A478">
        <v>467</v>
      </c>
      <c r="B478" t="str">
        <f t="shared" si="7"/>
        <v>Catorce de Noviembre</v>
      </c>
      <c r="C478">
        <v>9</v>
      </c>
      <c r="D478" t="s">
        <v>508</v>
      </c>
      <c r="E478">
        <v>8.0782098770141602</v>
      </c>
      <c r="F478">
        <v>-81.134902954101563</v>
      </c>
      <c r="G478">
        <v>226991</v>
      </c>
      <c r="H478">
        <v>907</v>
      </c>
      <c r="I478" t="s">
        <v>556</v>
      </c>
      <c r="J478">
        <v>7.9534401893615723</v>
      </c>
      <c r="K478">
        <v>-81.156097412109375</v>
      </c>
      <c r="L478">
        <v>5102</v>
      </c>
      <c r="M478">
        <v>90705</v>
      </c>
      <c r="N478" t="s">
        <v>559</v>
      </c>
      <c r="O478">
        <v>7.930729866027832</v>
      </c>
      <c r="P478">
        <v>-81.11090087890625</v>
      </c>
      <c r="Q478">
        <v>787</v>
      </c>
    </row>
    <row r="479" spans="1:17" x14ac:dyDescent="0.25">
      <c r="A479">
        <v>468</v>
      </c>
      <c r="B479" t="str">
        <f t="shared" si="7"/>
        <v>San Francisco (Cabecera)</v>
      </c>
      <c r="C479">
        <v>9</v>
      </c>
      <c r="D479" t="s">
        <v>508</v>
      </c>
      <c r="E479">
        <v>8.0782098770141602</v>
      </c>
      <c r="F479">
        <v>-81.134902954101563</v>
      </c>
      <c r="G479">
        <v>226991</v>
      </c>
      <c r="H479">
        <v>908</v>
      </c>
      <c r="I479" t="s">
        <v>479</v>
      </c>
      <c r="J479">
        <v>8.2991304397583008</v>
      </c>
      <c r="K479">
        <v>-81.005996704101563</v>
      </c>
      <c r="L479">
        <v>9881</v>
      </c>
      <c r="M479">
        <v>90801</v>
      </c>
      <c r="N479" t="s">
        <v>560</v>
      </c>
      <c r="O479">
        <v>8.2417097091674805</v>
      </c>
      <c r="P479">
        <v>-80.974700927734375</v>
      </c>
      <c r="Q479">
        <v>2283</v>
      </c>
    </row>
    <row r="480" spans="1:17" x14ac:dyDescent="0.25">
      <c r="A480">
        <v>469</v>
      </c>
      <c r="B480" t="str">
        <f t="shared" si="7"/>
        <v>Corral Falso</v>
      </c>
      <c r="C480">
        <v>9</v>
      </c>
      <c r="D480" t="s">
        <v>508</v>
      </c>
      <c r="E480">
        <v>8.0782098770141602</v>
      </c>
      <c r="F480">
        <v>-81.134902954101563</v>
      </c>
      <c r="G480">
        <v>226991</v>
      </c>
      <c r="H480">
        <v>908</v>
      </c>
      <c r="I480" t="s">
        <v>479</v>
      </c>
      <c r="J480">
        <v>8.2991304397583008</v>
      </c>
      <c r="K480">
        <v>-81.005996704101563</v>
      </c>
      <c r="L480">
        <v>9881</v>
      </c>
      <c r="M480">
        <v>90802</v>
      </c>
      <c r="N480" t="s">
        <v>561</v>
      </c>
      <c r="O480">
        <v>8.2154598236083984</v>
      </c>
      <c r="P480">
        <v>-80.884101867675781</v>
      </c>
      <c r="Q480">
        <v>469</v>
      </c>
    </row>
    <row r="481" spans="1:17" x14ac:dyDescent="0.25">
      <c r="A481">
        <v>470</v>
      </c>
      <c r="B481" t="str">
        <f t="shared" si="7"/>
        <v>Los Hatillos</v>
      </c>
      <c r="C481">
        <v>9</v>
      </c>
      <c r="D481" t="s">
        <v>508</v>
      </c>
      <c r="E481">
        <v>8.0782098770141602</v>
      </c>
      <c r="F481">
        <v>-81.134902954101563</v>
      </c>
      <c r="G481">
        <v>226991</v>
      </c>
      <c r="H481">
        <v>908</v>
      </c>
      <c r="I481" t="s">
        <v>479</v>
      </c>
      <c r="J481">
        <v>8.2991304397583008</v>
      </c>
      <c r="K481">
        <v>-81.005996704101563</v>
      </c>
      <c r="L481">
        <v>9881</v>
      </c>
      <c r="M481">
        <v>90803</v>
      </c>
      <c r="N481" t="s">
        <v>562</v>
      </c>
      <c r="O481">
        <v>8.3360795974731445</v>
      </c>
      <c r="P481">
        <v>-80.966102600097656</v>
      </c>
      <c r="Q481">
        <v>1365</v>
      </c>
    </row>
    <row r="482" spans="1:17" x14ac:dyDescent="0.25">
      <c r="A482">
        <v>471</v>
      </c>
      <c r="B482" t="str">
        <f t="shared" si="7"/>
        <v>Remance</v>
      </c>
      <c r="C482">
        <v>9</v>
      </c>
      <c r="D482" t="s">
        <v>508</v>
      </c>
      <c r="E482">
        <v>8.0782098770141602</v>
      </c>
      <c r="F482">
        <v>-81.134902954101563</v>
      </c>
      <c r="G482">
        <v>226991</v>
      </c>
      <c r="H482">
        <v>908</v>
      </c>
      <c r="I482" t="s">
        <v>479</v>
      </c>
      <c r="J482">
        <v>8.2991304397583008</v>
      </c>
      <c r="K482">
        <v>-81.005996704101563</v>
      </c>
      <c r="L482">
        <v>9881</v>
      </c>
      <c r="M482">
        <v>90804</v>
      </c>
      <c r="N482" t="s">
        <v>563</v>
      </c>
      <c r="O482">
        <v>8.2822999954223633</v>
      </c>
      <c r="P482">
        <v>-81.077201843261719</v>
      </c>
      <c r="Q482">
        <v>1618</v>
      </c>
    </row>
    <row r="483" spans="1:17" x14ac:dyDescent="0.25">
      <c r="A483">
        <v>472</v>
      </c>
      <c r="B483" t="str">
        <f t="shared" si="7"/>
        <v>San Juan</v>
      </c>
      <c r="C483">
        <v>9</v>
      </c>
      <c r="D483" t="s">
        <v>508</v>
      </c>
      <c r="E483">
        <v>8.0782098770141602</v>
      </c>
      <c r="F483">
        <v>-81.134902954101563</v>
      </c>
      <c r="G483">
        <v>226991</v>
      </c>
      <c r="H483">
        <v>908</v>
      </c>
      <c r="I483" t="s">
        <v>479</v>
      </c>
      <c r="J483">
        <v>8.2991304397583008</v>
      </c>
      <c r="K483">
        <v>-81.005996704101563</v>
      </c>
      <c r="L483">
        <v>9881</v>
      </c>
      <c r="M483">
        <v>90805</v>
      </c>
      <c r="N483" t="s">
        <v>176</v>
      </c>
      <c r="O483">
        <v>8.2974700927734375</v>
      </c>
      <c r="P483">
        <v>-81.034103393554688</v>
      </c>
      <c r="Q483">
        <v>1591</v>
      </c>
    </row>
    <row r="484" spans="1:17" x14ac:dyDescent="0.25">
      <c r="A484">
        <v>473</v>
      </c>
      <c r="B484" t="str">
        <f t="shared" si="7"/>
        <v>San José</v>
      </c>
      <c r="C484">
        <v>9</v>
      </c>
      <c r="D484" t="s">
        <v>508</v>
      </c>
      <c r="E484">
        <v>8.0782098770141602</v>
      </c>
      <c r="F484">
        <v>-81.134902954101563</v>
      </c>
      <c r="G484">
        <v>226991</v>
      </c>
      <c r="H484">
        <v>908</v>
      </c>
      <c r="I484" t="s">
        <v>479</v>
      </c>
      <c r="J484">
        <v>8.2991304397583008</v>
      </c>
      <c r="K484">
        <v>-81.005996704101563</v>
      </c>
      <c r="L484">
        <v>9881</v>
      </c>
      <c r="M484">
        <v>90806</v>
      </c>
      <c r="N484" t="s">
        <v>402</v>
      </c>
      <c r="O484">
        <v>8.3622198104858398</v>
      </c>
      <c r="P484">
        <v>-81.058799743652344</v>
      </c>
      <c r="Q484">
        <v>2555</v>
      </c>
    </row>
    <row r="485" spans="1:17" x14ac:dyDescent="0.25">
      <c r="A485">
        <v>474</v>
      </c>
      <c r="B485" t="str">
        <f t="shared" si="7"/>
        <v>Santa Fe (Cabecera)</v>
      </c>
      <c r="C485">
        <v>9</v>
      </c>
      <c r="D485" t="s">
        <v>508</v>
      </c>
      <c r="E485">
        <v>8.0782098770141602</v>
      </c>
      <c r="F485">
        <v>-81.134902954101563</v>
      </c>
      <c r="G485">
        <v>226991</v>
      </c>
      <c r="H485">
        <v>909</v>
      </c>
      <c r="I485" t="s">
        <v>564</v>
      </c>
      <c r="J485">
        <v>8.6464004516601563</v>
      </c>
      <c r="K485">
        <v>-80.99420166015625</v>
      </c>
      <c r="L485">
        <v>15585</v>
      </c>
      <c r="M485">
        <v>90901</v>
      </c>
      <c r="N485" t="s">
        <v>565</v>
      </c>
      <c r="O485">
        <v>8.4955997467041016</v>
      </c>
      <c r="P485">
        <v>-81.085403442382813</v>
      </c>
      <c r="Q485">
        <v>3047</v>
      </c>
    </row>
    <row r="486" spans="1:17" x14ac:dyDescent="0.25">
      <c r="A486">
        <v>475</v>
      </c>
      <c r="B486" t="str">
        <f t="shared" si="7"/>
        <v>Calovébora</v>
      </c>
      <c r="C486">
        <v>9</v>
      </c>
      <c r="D486" t="s">
        <v>508</v>
      </c>
      <c r="E486">
        <v>8.0782098770141602</v>
      </c>
      <c r="F486">
        <v>-81.134902954101563</v>
      </c>
      <c r="G486">
        <v>226991</v>
      </c>
      <c r="H486">
        <v>909</v>
      </c>
      <c r="I486" t="s">
        <v>564</v>
      </c>
      <c r="J486">
        <v>8.6464004516601563</v>
      </c>
      <c r="K486">
        <v>-80.99420166015625</v>
      </c>
      <c r="L486">
        <v>15585</v>
      </c>
      <c r="M486">
        <v>90902</v>
      </c>
      <c r="N486" t="s">
        <v>566</v>
      </c>
      <c r="O486">
        <v>8.7149200439453125</v>
      </c>
      <c r="P486">
        <v>-80.935600280761719</v>
      </c>
      <c r="Q486">
        <v>4397</v>
      </c>
    </row>
    <row r="487" spans="1:17" x14ac:dyDescent="0.25">
      <c r="A487">
        <v>476</v>
      </c>
      <c r="B487" t="str">
        <f t="shared" si="7"/>
        <v>El Alto</v>
      </c>
      <c r="C487">
        <v>9</v>
      </c>
      <c r="D487" t="s">
        <v>508</v>
      </c>
      <c r="E487">
        <v>8.0782098770141602</v>
      </c>
      <c r="F487">
        <v>-81.134902954101563</v>
      </c>
      <c r="G487">
        <v>226991</v>
      </c>
      <c r="H487">
        <v>909</v>
      </c>
      <c r="I487" t="s">
        <v>564</v>
      </c>
      <c r="J487">
        <v>8.6464004516601563</v>
      </c>
      <c r="K487">
        <v>-80.99420166015625</v>
      </c>
      <c r="L487">
        <v>15585</v>
      </c>
      <c r="M487">
        <v>90903</v>
      </c>
      <c r="N487" t="s">
        <v>567</v>
      </c>
      <c r="O487">
        <v>8.545989990234375</v>
      </c>
      <c r="P487">
        <v>-81.028396606445313</v>
      </c>
      <c r="Q487">
        <v>1318</v>
      </c>
    </row>
    <row r="488" spans="1:17" x14ac:dyDescent="0.25">
      <c r="A488">
        <v>477</v>
      </c>
      <c r="B488" t="str">
        <f t="shared" si="7"/>
        <v>El Cuay</v>
      </c>
      <c r="C488">
        <v>9</v>
      </c>
      <c r="D488" t="s">
        <v>508</v>
      </c>
      <c r="E488">
        <v>8.0782098770141602</v>
      </c>
      <c r="F488">
        <v>-81.134902954101563</v>
      </c>
      <c r="G488">
        <v>226991</v>
      </c>
      <c r="H488">
        <v>909</v>
      </c>
      <c r="I488" t="s">
        <v>564</v>
      </c>
      <c r="J488">
        <v>8.6464004516601563</v>
      </c>
      <c r="K488">
        <v>-80.99420166015625</v>
      </c>
      <c r="L488">
        <v>15585</v>
      </c>
      <c r="M488">
        <v>90904</v>
      </c>
      <c r="N488" t="s">
        <v>568</v>
      </c>
      <c r="O488">
        <v>8.443079948425293</v>
      </c>
      <c r="P488">
        <v>-81.109901428222656</v>
      </c>
      <c r="Q488">
        <v>1486</v>
      </c>
    </row>
    <row r="489" spans="1:17" x14ac:dyDescent="0.25">
      <c r="A489">
        <v>478</v>
      </c>
      <c r="B489" t="str">
        <f t="shared" si="7"/>
        <v>El Pantano</v>
      </c>
      <c r="C489">
        <v>9</v>
      </c>
      <c r="D489" t="s">
        <v>508</v>
      </c>
      <c r="E489">
        <v>8.0782098770141602</v>
      </c>
      <c r="F489">
        <v>-81.134902954101563</v>
      </c>
      <c r="G489">
        <v>226991</v>
      </c>
      <c r="H489">
        <v>909</v>
      </c>
      <c r="I489" t="s">
        <v>564</v>
      </c>
      <c r="J489">
        <v>8.6464004516601563</v>
      </c>
      <c r="K489">
        <v>-80.99420166015625</v>
      </c>
      <c r="L489">
        <v>15585</v>
      </c>
      <c r="M489">
        <v>90905</v>
      </c>
      <c r="N489" t="s">
        <v>569</v>
      </c>
      <c r="O489">
        <v>8.5737400054931641</v>
      </c>
      <c r="P489">
        <v>-81.072502136230469</v>
      </c>
      <c r="Q489">
        <v>658</v>
      </c>
    </row>
    <row r="490" spans="1:17" x14ac:dyDescent="0.25">
      <c r="A490">
        <v>479</v>
      </c>
      <c r="B490" t="str">
        <f t="shared" si="7"/>
        <v>Gatú o Gatucito</v>
      </c>
      <c r="C490">
        <v>9</v>
      </c>
      <c r="D490" t="s">
        <v>508</v>
      </c>
      <c r="E490">
        <v>8.0782098770141602</v>
      </c>
      <c r="F490">
        <v>-81.134902954101563</v>
      </c>
      <c r="G490">
        <v>226991</v>
      </c>
      <c r="H490">
        <v>909</v>
      </c>
      <c r="I490" t="s">
        <v>564</v>
      </c>
      <c r="J490">
        <v>8.6464004516601563</v>
      </c>
      <c r="K490">
        <v>-80.99420166015625</v>
      </c>
      <c r="L490">
        <v>15585</v>
      </c>
      <c r="M490">
        <v>90906</v>
      </c>
      <c r="N490" t="s">
        <v>570</v>
      </c>
      <c r="O490">
        <v>8.5440998077392578</v>
      </c>
      <c r="P490">
        <v>-80.959297180175781</v>
      </c>
      <c r="Q490">
        <v>1315</v>
      </c>
    </row>
    <row r="491" spans="1:17" x14ac:dyDescent="0.25">
      <c r="A491">
        <v>480</v>
      </c>
      <c r="B491" t="str">
        <f t="shared" si="7"/>
        <v>Río Luis</v>
      </c>
      <c r="C491">
        <v>9</v>
      </c>
      <c r="D491" t="s">
        <v>508</v>
      </c>
      <c r="E491">
        <v>8.0782098770141602</v>
      </c>
      <c r="F491">
        <v>-81.134902954101563</v>
      </c>
      <c r="G491">
        <v>226991</v>
      </c>
      <c r="H491">
        <v>909</v>
      </c>
      <c r="I491" t="s">
        <v>564</v>
      </c>
      <c r="J491">
        <v>8.6464004516601563</v>
      </c>
      <c r="K491">
        <v>-80.99420166015625</v>
      </c>
      <c r="L491">
        <v>15585</v>
      </c>
      <c r="M491">
        <v>90907</v>
      </c>
      <c r="N491" t="s">
        <v>571</v>
      </c>
      <c r="O491">
        <v>8.650050163269043</v>
      </c>
      <c r="P491">
        <v>-81.149101257324219</v>
      </c>
      <c r="Q491">
        <v>2204</v>
      </c>
    </row>
    <row r="492" spans="1:17" x14ac:dyDescent="0.25">
      <c r="A492">
        <v>481</v>
      </c>
      <c r="B492" t="str">
        <f t="shared" si="7"/>
        <v>Rubén Cantú</v>
      </c>
      <c r="C492">
        <v>9</v>
      </c>
      <c r="D492" t="s">
        <v>508</v>
      </c>
      <c r="E492">
        <v>8.0782098770141602</v>
      </c>
      <c r="F492">
        <v>-81.134902954101563</v>
      </c>
      <c r="G492">
        <v>226991</v>
      </c>
      <c r="H492">
        <v>909</v>
      </c>
      <c r="I492" t="s">
        <v>564</v>
      </c>
      <c r="J492">
        <v>8.6464004516601563</v>
      </c>
      <c r="K492">
        <v>-80.99420166015625</v>
      </c>
      <c r="L492">
        <v>15585</v>
      </c>
      <c r="M492">
        <v>90908</v>
      </c>
      <c r="N492" t="s">
        <v>572</v>
      </c>
      <c r="O492">
        <v>8.4515895843505859</v>
      </c>
      <c r="P492">
        <v>-80.978103637695313</v>
      </c>
      <c r="Q492">
        <v>1160</v>
      </c>
    </row>
    <row r="493" spans="1:17" x14ac:dyDescent="0.25">
      <c r="A493">
        <v>482</v>
      </c>
      <c r="B493" t="str">
        <f t="shared" si="7"/>
        <v>Santiago (Cabecera)</v>
      </c>
      <c r="C493">
        <v>9</v>
      </c>
      <c r="D493" t="s">
        <v>508</v>
      </c>
      <c r="E493">
        <v>8.0782098770141602</v>
      </c>
      <c r="F493">
        <v>-81.134902954101563</v>
      </c>
      <c r="G493">
        <v>226991</v>
      </c>
      <c r="H493">
        <v>910</v>
      </c>
      <c r="I493" t="s">
        <v>573</v>
      </c>
      <c r="J493">
        <v>8.0401401519775391</v>
      </c>
      <c r="K493">
        <v>-80.96710205078125</v>
      </c>
      <c r="L493">
        <v>88997</v>
      </c>
      <c r="M493">
        <v>91001</v>
      </c>
      <c r="N493" t="s">
        <v>574</v>
      </c>
      <c r="O493">
        <v>8.0822200775146484</v>
      </c>
      <c r="P493">
        <v>-80.9739990234375</v>
      </c>
      <c r="Q493">
        <v>31065</v>
      </c>
    </row>
    <row r="494" spans="1:17" x14ac:dyDescent="0.25">
      <c r="A494">
        <v>483</v>
      </c>
      <c r="B494" t="str">
        <f t="shared" si="7"/>
        <v>La Colorada</v>
      </c>
      <c r="C494">
        <v>9</v>
      </c>
      <c r="D494" t="s">
        <v>508</v>
      </c>
      <c r="E494">
        <v>8.0782098770141602</v>
      </c>
      <c r="F494">
        <v>-81.134902954101563</v>
      </c>
      <c r="G494">
        <v>226991</v>
      </c>
      <c r="H494">
        <v>910</v>
      </c>
      <c r="I494" t="s">
        <v>573</v>
      </c>
      <c r="J494">
        <v>8.0401401519775391</v>
      </c>
      <c r="K494">
        <v>-80.96710205078125</v>
      </c>
      <c r="L494">
        <v>88997</v>
      </c>
      <c r="M494">
        <v>91002</v>
      </c>
      <c r="N494" t="s">
        <v>408</v>
      </c>
      <c r="O494">
        <v>7.9924201965332031</v>
      </c>
      <c r="P494">
        <v>-80.988998413085938</v>
      </c>
      <c r="Q494">
        <v>2128</v>
      </c>
    </row>
    <row r="495" spans="1:17" x14ac:dyDescent="0.25">
      <c r="A495">
        <v>484</v>
      </c>
      <c r="B495" t="str">
        <f t="shared" si="7"/>
        <v>La Peña</v>
      </c>
      <c r="C495">
        <v>9</v>
      </c>
      <c r="D495" t="s">
        <v>508</v>
      </c>
      <c r="E495">
        <v>8.0782098770141602</v>
      </c>
      <c r="F495">
        <v>-81.134902954101563</v>
      </c>
      <c r="G495">
        <v>226991</v>
      </c>
      <c r="H495">
        <v>910</v>
      </c>
      <c r="I495" t="s">
        <v>573</v>
      </c>
      <c r="J495">
        <v>8.0401401519775391</v>
      </c>
      <c r="K495">
        <v>-80.96710205078125</v>
      </c>
      <c r="L495">
        <v>88997</v>
      </c>
      <c r="M495">
        <v>91003</v>
      </c>
      <c r="N495" t="s">
        <v>575</v>
      </c>
      <c r="O495">
        <v>8.1894702911376953</v>
      </c>
      <c r="P495">
        <v>-81.064300537109375</v>
      </c>
      <c r="Q495">
        <v>3990</v>
      </c>
    </row>
    <row r="496" spans="1:17" x14ac:dyDescent="0.25">
      <c r="A496">
        <v>485</v>
      </c>
      <c r="B496" t="str">
        <f t="shared" si="7"/>
        <v>La Raya de Santa María</v>
      </c>
      <c r="C496">
        <v>9</v>
      </c>
      <c r="D496" t="s">
        <v>508</v>
      </c>
      <c r="E496">
        <v>8.0782098770141602</v>
      </c>
      <c r="F496">
        <v>-81.134902954101563</v>
      </c>
      <c r="G496">
        <v>226991</v>
      </c>
      <c r="H496">
        <v>910</v>
      </c>
      <c r="I496" t="s">
        <v>573</v>
      </c>
      <c r="J496">
        <v>8.0401401519775391</v>
      </c>
      <c r="K496">
        <v>-80.96710205078125</v>
      </c>
      <c r="L496">
        <v>88997</v>
      </c>
      <c r="M496">
        <v>91004</v>
      </c>
      <c r="N496" t="s">
        <v>576</v>
      </c>
      <c r="O496">
        <v>8.149749755859375</v>
      </c>
      <c r="P496">
        <v>-80.810600280761719</v>
      </c>
      <c r="Q496">
        <v>3268</v>
      </c>
    </row>
    <row r="497" spans="1:17" x14ac:dyDescent="0.25">
      <c r="A497">
        <v>486</v>
      </c>
      <c r="B497" t="str">
        <f t="shared" si="7"/>
        <v>Ponuga</v>
      </c>
      <c r="C497">
        <v>9</v>
      </c>
      <c r="D497" t="s">
        <v>508</v>
      </c>
      <c r="E497">
        <v>8.0782098770141602</v>
      </c>
      <c r="F497">
        <v>-81.134902954101563</v>
      </c>
      <c r="G497">
        <v>226991</v>
      </c>
      <c r="H497">
        <v>910</v>
      </c>
      <c r="I497" t="s">
        <v>573</v>
      </c>
      <c r="J497">
        <v>8.0401401519775391</v>
      </c>
      <c r="K497">
        <v>-80.96710205078125</v>
      </c>
      <c r="L497">
        <v>88997</v>
      </c>
      <c r="M497">
        <v>91005</v>
      </c>
      <c r="N497" t="s">
        <v>577</v>
      </c>
      <c r="O497">
        <v>7.8977499008178711</v>
      </c>
      <c r="P497">
        <v>-80.99169921875</v>
      </c>
      <c r="Q497">
        <v>2798</v>
      </c>
    </row>
    <row r="498" spans="1:17" x14ac:dyDescent="0.25">
      <c r="A498">
        <v>487</v>
      </c>
      <c r="B498" t="str">
        <f t="shared" si="7"/>
        <v>San Pedro del Espino</v>
      </c>
      <c r="C498">
        <v>9</v>
      </c>
      <c r="D498" t="s">
        <v>508</v>
      </c>
      <c r="E498">
        <v>8.0782098770141602</v>
      </c>
      <c r="F498">
        <v>-81.134902954101563</v>
      </c>
      <c r="G498">
        <v>226991</v>
      </c>
      <c r="H498">
        <v>910</v>
      </c>
      <c r="I498" t="s">
        <v>573</v>
      </c>
      <c r="J498">
        <v>8.0401401519775391</v>
      </c>
      <c r="K498">
        <v>-80.96710205078125</v>
      </c>
      <c r="L498">
        <v>88997</v>
      </c>
      <c r="M498">
        <v>91006</v>
      </c>
      <c r="N498" t="s">
        <v>578</v>
      </c>
      <c r="O498">
        <v>8.1366395950317383</v>
      </c>
      <c r="P498">
        <v>-81.0780029296875</v>
      </c>
      <c r="Q498">
        <v>1629</v>
      </c>
    </row>
    <row r="499" spans="1:17" x14ac:dyDescent="0.25">
      <c r="A499">
        <v>488</v>
      </c>
      <c r="B499" t="str">
        <f t="shared" si="7"/>
        <v>Canto del Llano</v>
      </c>
      <c r="C499">
        <v>9</v>
      </c>
      <c r="D499" t="s">
        <v>508</v>
      </c>
      <c r="E499">
        <v>8.0782098770141602</v>
      </c>
      <c r="F499">
        <v>-81.134902954101563</v>
      </c>
      <c r="G499">
        <v>226991</v>
      </c>
      <c r="H499">
        <v>910</v>
      </c>
      <c r="I499" t="s">
        <v>573</v>
      </c>
      <c r="J499">
        <v>8.0401401519775391</v>
      </c>
      <c r="K499">
        <v>-80.96710205078125</v>
      </c>
      <c r="L499">
        <v>88997</v>
      </c>
      <c r="M499">
        <v>91007</v>
      </c>
      <c r="N499" t="s">
        <v>579</v>
      </c>
      <c r="O499">
        <v>8.1752099990844727</v>
      </c>
      <c r="P499">
        <v>-80.954803466796875</v>
      </c>
      <c r="Q499">
        <v>13331</v>
      </c>
    </row>
    <row r="500" spans="1:17" x14ac:dyDescent="0.25">
      <c r="A500">
        <v>489</v>
      </c>
      <c r="B500" t="str">
        <f t="shared" si="7"/>
        <v>Los Algarrobos</v>
      </c>
      <c r="C500">
        <v>9</v>
      </c>
      <c r="D500" t="s">
        <v>508</v>
      </c>
      <c r="E500">
        <v>8.0782098770141602</v>
      </c>
      <c r="F500">
        <v>-81.134902954101563</v>
      </c>
      <c r="G500">
        <v>226991</v>
      </c>
      <c r="H500">
        <v>910</v>
      </c>
      <c r="I500" t="s">
        <v>573</v>
      </c>
      <c r="J500">
        <v>8.0401401519775391</v>
      </c>
      <c r="K500">
        <v>-80.96710205078125</v>
      </c>
      <c r="L500">
        <v>88997</v>
      </c>
      <c r="M500">
        <v>91008</v>
      </c>
      <c r="N500" t="s">
        <v>263</v>
      </c>
      <c r="O500">
        <v>8.0906000137329102</v>
      </c>
      <c r="P500">
        <v>-81.050697326660156</v>
      </c>
      <c r="Q500">
        <v>5490</v>
      </c>
    </row>
    <row r="501" spans="1:17" x14ac:dyDescent="0.25">
      <c r="A501">
        <v>490</v>
      </c>
      <c r="B501" t="str">
        <f t="shared" si="7"/>
        <v>Carlos Santana Ávila</v>
      </c>
      <c r="C501">
        <v>9</v>
      </c>
      <c r="D501" t="s">
        <v>508</v>
      </c>
      <c r="E501">
        <v>8.0782098770141602</v>
      </c>
      <c r="F501">
        <v>-81.134902954101563</v>
      </c>
      <c r="G501">
        <v>226991</v>
      </c>
      <c r="H501">
        <v>910</v>
      </c>
      <c r="I501" t="s">
        <v>573</v>
      </c>
      <c r="J501">
        <v>8.0401401519775391</v>
      </c>
      <c r="K501">
        <v>-80.96710205078125</v>
      </c>
      <c r="L501">
        <v>88997</v>
      </c>
      <c r="M501">
        <v>91009</v>
      </c>
      <c r="N501" t="s">
        <v>580</v>
      </c>
      <c r="O501">
        <v>8.1008901596069336</v>
      </c>
      <c r="P501">
        <v>-80.838401794433594</v>
      </c>
      <c r="Q501">
        <v>4059</v>
      </c>
    </row>
    <row r="502" spans="1:17" x14ac:dyDescent="0.25">
      <c r="A502">
        <v>491</v>
      </c>
      <c r="B502" t="str">
        <f t="shared" si="7"/>
        <v>Edwin Fábrega</v>
      </c>
      <c r="C502">
        <v>9</v>
      </c>
      <c r="D502" t="s">
        <v>508</v>
      </c>
      <c r="E502">
        <v>8.0782098770141602</v>
      </c>
      <c r="F502">
        <v>-81.134902954101563</v>
      </c>
      <c r="G502">
        <v>226991</v>
      </c>
      <c r="H502">
        <v>910</v>
      </c>
      <c r="I502" t="s">
        <v>573</v>
      </c>
      <c r="J502">
        <v>8.0401401519775391</v>
      </c>
      <c r="K502">
        <v>-80.96710205078125</v>
      </c>
      <c r="L502">
        <v>88997</v>
      </c>
      <c r="M502">
        <v>91010</v>
      </c>
      <c r="N502" t="s">
        <v>581</v>
      </c>
      <c r="O502">
        <v>8.0519199371337891</v>
      </c>
      <c r="P502">
        <v>-81.016899108886719</v>
      </c>
      <c r="Q502">
        <v>3434</v>
      </c>
    </row>
    <row r="503" spans="1:17" x14ac:dyDescent="0.25">
      <c r="A503">
        <v>492</v>
      </c>
      <c r="B503" t="str">
        <f t="shared" si="7"/>
        <v>San Martín de Porres</v>
      </c>
      <c r="C503">
        <v>9</v>
      </c>
      <c r="D503" t="s">
        <v>508</v>
      </c>
      <c r="E503">
        <v>8.0782098770141602</v>
      </c>
      <c r="F503">
        <v>-81.134902954101563</v>
      </c>
      <c r="G503">
        <v>226991</v>
      </c>
      <c r="H503">
        <v>910</v>
      </c>
      <c r="I503" t="s">
        <v>573</v>
      </c>
      <c r="J503">
        <v>8.0401401519775391</v>
      </c>
      <c r="K503">
        <v>-80.96710205078125</v>
      </c>
      <c r="L503">
        <v>88997</v>
      </c>
      <c r="M503">
        <v>91011</v>
      </c>
      <c r="N503" t="s">
        <v>545</v>
      </c>
      <c r="O503">
        <v>8.114649772644043</v>
      </c>
      <c r="P503">
        <v>-80.953598022460938</v>
      </c>
      <c r="Q503">
        <v>16406</v>
      </c>
    </row>
    <row r="504" spans="1:17" x14ac:dyDescent="0.25">
      <c r="A504">
        <v>493</v>
      </c>
      <c r="B504" t="str">
        <f t="shared" si="7"/>
        <v>Urracá</v>
      </c>
      <c r="C504">
        <v>9</v>
      </c>
      <c r="D504" t="s">
        <v>508</v>
      </c>
      <c r="E504">
        <v>8.0782098770141602</v>
      </c>
      <c r="F504">
        <v>-81.134902954101563</v>
      </c>
      <c r="G504">
        <v>226991</v>
      </c>
      <c r="H504">
        <v>910</v>
      </c>
      <c r="I504" t="s">
        <v>573</v>
      </c>
      <c r="J504">
        <v>8.0401401519775391</v>
      </c>
      <c r="K504">
        <v>-80.96710205078125</v>
      </c>
      <c r="L504">
        <v>88997</v>
      </c>
      <c r="M504">
        <v>91012</v>
      </c>
      <c r="N504" t="s">
        <v>582</v>
      </c>
      <c r="O504">
        <v>8.1550703048706055</v>
      </c>
      <c r="P504">
        <v>-80.898300170898438</v>
      </c>
      <c r="Q504">
        <v>1399</v>
      </c>
    </row>
    <row r="505" spans="1:17" x14ac:dyDescent="0.25">
      <c r="A505">
        <v>494</v>
      </c>
      <c r="B505" t="str">
        <f t="shared" si="7"/>
        <v>Soná (Cabecera)</v>
      </c>
      <c r="C505">
        <v>9</v>
      </c>
      <c r="D505" t="s">
        <v>508</v>
      </c>
      <c r="E505">
        <v>8.0782098770141602</v>
      </c>
      <c r="F505">
        <v>-81.134902954101563</v>
      </c>
      <c r="G505">
        <v>226991</v>
      </c>
      <c r="H505">
        <v>911</v>
      </c>
      <c r="I505" t="s">
        <v>583</v>
      </c>
      <c r="J505">
        <v>7.8602399826049805</v>
      </c>
      <c r="K505">
        <v>-81.344497680664063</v>
      </c>
      <c r="L505">
        <v>27833</v>
      </c>
      <c r="M505">
        <v>91101</v>
      </c>
      <c r="N505" t="s">
        <v>584</v>
      </c>
      <c r="O505">
        <v>7.973909854888916</v>
      </c>
      <c r="P505">
        <v>-81.327796936035156</v>
      </c>
      <c r="Q505">
        <v>10802</v>
      </c>
    </row>
    <row r="506" spans="1:17" x14ac:dyDescent="0.25">
      <c r="A506">
        <v>495</v>
      </c>
      <c r="B506" t="str">
        <f t="shared" si="7"/>
        <v>Bahía Honda</v>
      </c>
      <c r="C506">
        <v>9</v>
      </c>
      <c r="D506" t="s">
        <v>508</v>
      </c>
      <c r="E506">
        <v>8.0782098770141602</v>
      </c>
      <c r="F506">
        <v>-81.134902954101563</v>
      </c>
      <c r="G506">
        <v>226991</v>
      </c>
      <c r="H506">
        <v>911</v>
      </c>
      <c r="I506" t="s">
        <v>583</v>
      </c>
      <c r="J506">
        <v>7.8602399826049805</v>
      </c>
      <c r="K506">
        <v>-81.344497680664063</v>
      </c>
      <c r="L506">
        <v>27833</v>
      </c>
      <c r="M506">
        <v>91102</v>
      </c>
      <c r="N506" t="s">
        <v>420</v>
      </c>
      <c r="O506">
        <v>7.7676000595092773</v>
      </c>
      <c r="P506">
        <v>-81.505302429199219</v>
      </c>
      <c r="Q506">
        <v>1037</v>
      </c>
    </row>
    <row r="507" spans="1:17" x14ac:dyDescent="0.25">
      <c r="A507">
        <v>496</v>
      </c>
      <c r="B507" t="str">
        <f t="shared" si="7"/>
        <v>Calidonia</v>
      </c>
      <c r="C507">
        <v>9</v>
      </c>
      <c r="D507" t="s">
        <v>508</v>
      </c>
      <c r="E507">
        <v>8.0782098770141602</v>
      </c>
      <c r="F507">
        <v>-81.134902954101563</v>
      </c>
      <c r="G507">
        <v>226991</v>
      </c>
      <c r="H507">
        <v>911</v>
      </c>
      <c r="I507" t="s">
        <v>583</v>
      </c>
      <c r="J507">
        <v>7.8602399826049805</v>
      </c>
      <c r="K507">
        <v>-81.344497680664063</v>
      </c>
      <c r="L507">
        <v>27833</v>
      </c>
      <c r="M507">
        <v>91103</v>
      </c>
      <c r="N507" t="s">
        <v>585</v>
      </c>
      <c r="O507">
        <v>7.9116997718811035</v>
      </c>
      <c r="P507">
        <v>-81.436897277832031</v>
      </c>
      <c r="Q507">
        <v>1419</v>
      </c>
    </row>
    <row r="508" spans="1:17" x14ac:dyDescent="0.25">
      <c r="A508">
        <v>497</v>
      </c>
      <c r="B508" t="str">
        <f t="shared" si="7"/>
        <v>Cativé</v>
      </c>
      <c r="C508">
        <v>9</v>
      </c>
      <c r="D508" t="s">
        <v>508</v>
      </c>
      <c r="E508">
        <v>8.0782098770141602</v>
      </c>
      <c r="F508">
        <v>-81.134902954101563</v>
      </c>
      <c r="G508">
        <v>226991</v>
      </c>
      <c r="H508">
        <v>911</v>
      </c>
      <c r="I508" t="s">
        <v>583</v>
      </c>
      <c r="J508">
        <v>7.8602399826049805</v>
      </c>
      <c r="K508">
        <v>-81.344497680664063</v>
      </c>
      <c r="L508">
        <v>27833</v>
      </c>
      <c r="M508">
        <v>91104</v>
      </c>
      <c r="N508" t="s">
        <v>586</v>
      </c>
      <c r="O508">
        <v>7.8531599044799805</v>
      </c>
      <c r="P508">
        <v>-81.402702331542969</v>
      </c>
      <c r="Q508">
        <v>822</v>
      </c>
    </row>
    <row r="509" spans="1:17" x14ac:dyDescent="0.25">
      <c r="A509">
        <v>498</v>
      </c>
      <c r="B509" t="str">
        <f t="shared" si="7"/>
        <v>El Marañón</v>
      </c>
      <c r="C509">
        <v>9</v>
      </c>
      <c r="D509" t="s">
        <v>508</v>
      </c>
      <c r="E509">
        <v>8.0782098770141602</v>
      </c>
      <c r="F509">
        <v>-81.134902954101563</v>
      </c>
      <c r="G509">
        <v>226991</v>
      </c>
      <c r="H509">
        <v>911</v>
      </c>
      <c r="I509" t="s">
        <v>583</v>
      </c>
      <c r="J509">
        <v>7.8602399826049805</v>
      </c>
      <c r="K509">
        <v>-81.344497680664063</v>
      </c>
      <c r="L509">
        <v>27833</v>
      </c>
      <c r="M509">
        <v>91105</v>
      </c>
      <c r="N509" t="s">
        <v>587</v>
      </c>
      <c r="O509">
        <v>8.0174198150634766</v>
      </c>
      <c r="P509">
        <v>-81.254302978515625</v>
      </c>
      <c r="Q509">
        <v>2322</v>
      </c>
    </row>
    <row r="510" spans="1:17" x14ac:dyDescent="0.25">
      <c r="A510">
        <v>499</v>
      </c>
      <c r="B510" t="str">
        <f t="shared" si="7"/>
        <v>Guarumal</v>
      </c>
      <c r="C510">
        <v>9</v>
      </c>
      <c r="D510" t="s">
        <v>508</v>
      </c>
      <c r="E510">
        <v>8.0782098770141602</v>
      </c>
      <c r="F510">
        <v>-81.134902954101563</v>
      </c>
      <c r="G510">
        <v>226991</v>
      </c>
      <c r="H510">
        <v>911</v>
      </c>
      <c r="I510" t="s">
        <v>583</v>
      </c>
      <c r="J510">
        <v>7.8602399826049805</v>
      </c>
      <c r="K510">
        <v>-81.344497680664063</v>
      </c>
      <c r="L510">
        <v>27833</v>
      </c>
      <c r="M510">
        <v>91106</v>
      </c>
      <c r="N510" t="s">
        <v>210</v>
      </c>
      <c r="O510">
        <v>7.8233098983764648</v>
      </c>
      <c r="P510">
        <v>-81.224800109863281</v>
      </c>
      <c r="Q510">
        <v>3239</v>
      </c>
    </row>
    <row r="511" spans="1:17" x14ac:dyDescent="0.25">
      <c r="A511">
        <v>500</v>
      </c>
      <c r="B511" t="str">
        <f t="shared" si="7"/>
        <v>La Soledad</v>
      </c>
      <c r="C511">
        <v>9</v>
      </c>
      <c r="D511" t="s">
        <v>508</v>
      </c>
      <c r="E511">
        <v>8.0782098770141602</v>
      </c>
      <c r="F511">
        <v>-81.134902954101563</v>
      </c>
      <c r="G511">
        <v>226991</v>
      </c>
      <c r="H511">
        <v>911</v>
      </c>
      <c r="I511" t="s">
        <v>583</v>
      </c>
      <c r="J511">
        <v>7.8602399826049805</v>
      </c>
      <c r="K511">
        <v>-81.344497680664063</v>
      </c>
      <c r="L511">
        <v>27833</v>
      </c>
      <c r="M511">
        <v>91107</v>
      </c>
      <c r="N511" t="s">
        <v>588</v>
      </c>
      <c r="O511">
        <v>7.8954100608825684</v>
      </c>
      <c r="P511">
        <v>-81.293502807617188</v>
      </c>
      <c r="Q511">
        <v>1517</v>
      </c>
    </row>
    <row r="512" spans="1:17" x14ac:dyDescent="0.25">
      <c r="A512">
        <v>501</v>
      </c>
      <c r="B512" t="str">
        <f t="shared" si="7"/>
        <v>Quebrada de Oro</v>
      </c>
      <c r="C512">
        <v>9</v>
      </c>
      <c r="D512" t="s">
        <v>508</v>
      </c>
      <c r="E512">
        <v>8.0782098770141602</v>
      </c>
      <c r="F512">
        <v>-81.134902954101563</v>
      </c>
      <c r="G512">
        <v>226991</v>
      </c>
      <c r="H512">
        <v>911</v>
      </c>
      <c r="I512" t="s">
        <v>583</v>
      </c>
      <c r="J512">
        <v>7.8602399826049805</v>
      </c>
      <c r="K512">
        <v>-81.344497680664063</v>
      </c>
      <c r="L512">
        <v>27833</v>
      </c>
      <c r="M512">
        <v>91108</v>
      </c>
      <c r="N512" t="s">
        <v>589</v>
      </c>
      <c r="O512">
        <v>8.0344600677490234</v>
      </c>
      <c r="P512">
        <v>-81.37030029296875</v>
      </c>
      <c r="Q512">
        <v>955</v>
      </c>
    </row>
    <row r="513" spans="1:17" x14ac:dyDescent="0.25">
      <c r="A513">
        <v>502</v>
      </c>
      <c r="B513" t="str">
        <f t="shared" si="7"/>
        <v>Río Grande</v>
      </c>
      <c r="C513">
        <v>9</v>
      </c>
      <c r="D513" t="s">
        <v>508</v>
      </c>
      <c r="E513">
        <v>8.0782098770141602</v>
      </c>
      <c r="F513">
        <v>-81.134902954101563</v>
      </c>
      <c r="G513">
        <v>226991</v>
      </c>
      <c r="H513">
        <v>911</v>
      </c>
      <c r="I513" t="s">
        <v>583</v>
      </c>
      <c r="J513">
        <v>7.8602399826049805</v>
      </c>
      <c r="K513">
        <v>-81.344497680664063</v>
      </c>
      <c r="L513">
        <v>27833</v>
      </c>
      <c r="M513">
        <v>91109</v>
      </c>
      <c r="N513" t="s">
        <v>160</v>
      </c>
      <c r="O513">
        <v>7.7116098403930664</v>
      </c>
      <c r="P513">
        <v>-81.344703674316406</v>
      </c>
      <c r="Q513">
        <v>3674</v>
      </c>
    </row>
    <row r="514" spans="1:17" x14ac:dyDescent="0.25">
      <c r="A514">
        <v>503</v>
      </c>
      <c r="B514" t="str">
        <f t="shared" si="7"/>
        <v>Rodeo Viejo</v>
      </c>
      <c r="C514">
        <v>9</v>
      </c>
      <c r="D514" t="s">
        <v>508</v>
      </c>
      <c r="E514">
        <v>8.0782098770141602</v>
      </c>
      <c r="F514">
        <v>-81.134902954101563</v>
      </c>
      <c r="G514">
        <v>226991</v>
      </c>
      <c r="H514">
        <v>911</v>
      </c>
      <c r="I514" t="s">
        <v>583</v>
      </c>
      <c r="J514">
        <v>7.8602399826049805</v>
      </c>
      <c r="K514">
        <v>-81.344497680664063</v>
      </c>
      <c r="L514">
        <v>27833</v>
      </c>
      <c r="M514">
        <v>91110</v>
      </c>
      <c r="N514" t="s">
        <v>590</v>
      </c>
      <c r="O514">
        <v>8.0908298492431641</v>
      </c>
      <c r="P514">
        <v>-81.318099975585938</v>
      </c>
      <c r="Q514">
        <v>2046</v>
      </c>
    </row>
    <row r="515" spans="1:17" x14ac:dyDescent="0.25">
      <c r="A515">
        <v>504</v>
      </c>
      <c r="B515" t="str">
        <f t="shared" si="7"/>
        <v>Llano de Catival o Mariato (Cabecera)</v>
      </c>
      <c r="C515">
        <v>9</v>
      </c>
      <c r="D515" t="s">
        <v>508</v>
      </c>
      <c r="E515">
        <v>8.0782098770141602</v>
      </c>
      <c r="F515">
        <v>-81.134902954101563</v>
      </c>
      <c r="G515">
        <v>226991</v>
      </c>
      <c r="H515">
        <v>912</v>
      </c>
      <c r="I515" t="s">
        <v>591</v>
      </c>
      <c r="J515">
        <v>7.4455299377441406</v>
      </c>
      <c r="K515">
        <v>-80.83489990234375</v>
      </c>
      <c r="L515">
        <v>5296</v>
      </c>
      <c r="M515">
        <v>91201</v>
      </c>
      <c r="N515" t="s">
        <v>592</v>
      </c>
      <c r="O515">
        <v>7.6130399703979492</v>
      </c>
      <c r="P515">
        <v>-80.92230224609375</v>
      </c>
      <c r="Q515">
        <v>2376</v>
      </c>
    </row>
    <row r="516" spans="1:17" x14ac:dyDescent="0.25">
      <c r="A516">
        <v>505</v>
      </c>
      <c r="B516" t="str">
        <f t="shared" si="7"/>
        <v>Arenas</v>
      </c>
      <c r="C516">
        <v>9</v>
      </c>
      <c r="D516" t="s">
        <v>508</v>
      </c>
      <c r="E516">
        <v>8.0782098770141602</v>
      </c>
      <c r="F516">
        <v>-81.134902954101563</v>
      </c>
      <c r="G516">
        <v>226991</v>
      </c>
      <c r="H516">
        <v>912</v>
      </c>
      <c r="I516" t="s">
        <v>591</v>
      </c>
      <c r="J516">
        <v>7.4455299377441406</v>
      </c>
      <c r="K516">
        <v>-80.83489990234375</v>
      </c>
      <c r="L516">
        <v>5296</v>
      </c>
      <c r="M516">
        <v>91202</v>
      </c>
      <c r="N516" t="s">
        <v>593</v>
      </c>
      <c r="O516">
        <v>7.3698601722717285</v>
      </c>
      <c r="P516">
        <v>-80.773002624511719</v>
      </c>
      <c r="Q516">
        <v>663</v>
      </c>
    </row>
    <row r="517" spans="1:17" x14ac:dyDescent="0.25">
      <c r="A517">
        <v>506</v>
      </c>
      <c r="B517" t="str">
        <f t="shared" si="7"/>
        <v>El Cacao</v>
      </c>
      <c r="C517">
        <v>9</v>
      </c>
      <c r="D517" t="s">
        <v>508</v>
      </c>
      <c r="E517">
        <v>8.0782098770141602</v>
      </c>
      <c r="F517">
        <v>-81.134902954101563</v>
      </c>
      <c r="G517">
        <v>226991</v>
      </c>
      <c r="H517">
        <v>912</v>
      </c>
      <c r="I517" t="s">
        <v>591</v>
      </c>
      <c r="J517">
        <v>7.4455299377441406</v>
      </c>
      <c r="K517">
        <v>-80.83489990234375</v>
      </c>
      <c r="L517">
        <v>5296</v>
      </c>
      <c r="M517">
        <v>91203</v>
      </c>
      <c r="N517" t="s">
        <v>444</v>
      </c>
      <c r="O517">
        <v>7.2744598388671875</v>
      </c>
      <c r="P517">
        <v>-80.783599853515625</v>
      </c>
      <c r="Q517">
        <v>529</v>
      </c>
    </row>
    <row r="518" spans="1:17" x14ac:dyDescent="0.25">
      <c r="A518">
        <v>507</v>
      </c>
      <c r="B518" t="str">
        <f t="shared" si="7"/>
        <v>Quebro</v>
      </c>
      <c r="C518">
        <v>9</v>
      </c>
      <c r="D518" t="s">
        <v>508</v>
      </c>
      <c r="E518">
        <v>8.0782098770141602</v>
      </c>
      <c r="F518">
        <v>-81.134902954101563</v>
      </c>
      <c r="G518">
        <v>226991</v>
      </c>
      <c r="H518">
        <v>912</v>
      </c>
      <c r="I518" t="s">
        <v>591</v>
      </c>
      <c r="J518">
        <v>7.4455299377441406</v>
      </c>
      <c r="K518">
        <v>-80.83489990234375</v>
      </c>
      <c r="L518">
        <v>5296</v>
      </c>
      <c r="M518">
        <v>91204</v>
      </c>
      <c r="N518" t="s">
        <v>594</v>
      </c>
      <c r="O518">
        <v>7.4839701652526855</v>
      </c>
      <c r="P518">
        <v>-80.825698852539063</v>
      </c>
      <c r="Q518">
        <v>1129</v>
      </c>
    </row>
    <row r="519" spans="1:17" x14ac:dyDescent="0.25">
      <c r="A519">
        <v>508</v>
      </c>
      <c r="B519" t="str">
        <f t="shared" si="7"/>
        <v>Tebario</v>
      </c>
      <c r="C519">
        <v>9</v>
      </c>
      <c r="D519" t="s">
        <v>508</v>
      </c>
      <c r="E519">
        <v>8.0782098770141602</v>
      </c>
      <c r="F519">
        <v>-81.134902954101563</v>
      </c>
      <c r="G519">
        <v>226991</v>
      </c>
      <c r="H519">
        <v>912</v>
      </c>
      <c r="I519" t="s">
        <v>591</v>
      </c>
      <c r="J519">
        <v>7.4455299377441406</v>
      </c>
      <c r="K519">
        <v>-80.83489990234375</v>
      </c>
      <c r="L519">
        <v>5296</v>
      </c>
      <c r="M519">
        <v>91205</v>
      </c>
      <c r="N519" t="s">
        <v>595</v>
      </c>
      <c r="O519">
        <v>7.7168397903442383</v>
      </c>
      <c r="P519">
        <v>-80.972602844238281</v>
      </c>
      <c r="Q519">
        <v>599</v>
      </c>
    </row>
    <row r="520" spans="1:17" x14ac:dyDescent="0.25">
      <c r="A520">
        <v>509</v>
      </c>
      <c r="B520" t="str">
        <f t="shared" si="7"/>
        <v>Narganá (Cabecera)</v>
      </c>
      <c r="C520">
        <v>10</v>
      </c>
      <c r="D520" t="s">
        <v>596</v>
      </c>
      <c r="E520">
        <v>9.1622495651245117</v>
      </c>
      <c r="F520">
        <v>-78.289100646972656</v>
      </c>
      <c r="G520">
        <v>33109</v>
      </c>
      <c r="H520">
        <v>1001</v>
      </c>
      <c r="I520" t="s">
        <v>596</v>
      </c>
      <c r="J520">
        <v>9.1622495651245117</v>
      </c>
      <c r="K520">
        <v>-78.289100646972656</v>
      </c>
      <c r="L520">
        <v>33109</v>
      </c>
      <c r="M520">
        <v>100101</v>
      </c>
      <c r="N520" t="s">
        <v>597</v>
      </c>
      <c r="O520">
        <v>9.3903999328613281</v>
      </c>
      <c r="P520">
        <v>-78.851898193359375</v>
      </c>
      <c r="Q520">
        <v>14060</v>
      </c>
    </row>
    <row r="521" spans="1:17" x14ac:dyDescent="0.25">
      <c r="A521">
        <v>510</v>
      </c>
      <c r="B521" t="str">
        <f t="shared" si="7"/>
        <v>Ailigandí</v>
      </c>
      <c r="C521">
        <v>10</v>
      </c>
      <c r="D521" t="s">
        <v>596</v>
      </c>
      <c r="E521">
        <v>9.1622495651245117</v>
      </c>
      <c r="F521">
        <v>-78.289100646972656</v>
      </c>
      <c r="G521">
        <v>33109</v>
      </c>
      <c r="H521">
        <v>1001</v>
      </c>
      <c r="I521" t="s">
        <v>596</v>
      </c>
      <c r="J521">
        <v>9.1622495651245117</v>
      </c>
      <c r="K521">
        <v>-78.289100646972656</v>
      </c>
      <c r="L521">
        <v>33109</v>
      </c>
      <c r="M521">
        <v>100102</v>
      </c>
      <c r="N521" t="s">
        <v>598</v>
      </c>
      <c r="O521">
        <v>9.2218904495239258</v>
      </c>
      <c r="P521">
        <v>-78.15789794921875</v>
      </c>
      <c r="Q521">
        <v>11644</v>
      </c>
    </row>
    <row r="522" spans="1:17" x14ac:dyDescent="0.25">
      <c r="A522">
        <v>511</v>
      </c>
      <c r="B522" t="str">
        <f t="shared" si="7"/>
        <v>Puerto Obaldía</v>
      </c>
      <c r="C522">
        <v>10</v>
      </c>
      <c r="D522" t="s">
        <v>596</v>
      </c>
      <c r="E522">
        <v>9.1622495651245117</v>
      </c>
      <c r="F522">
        <v>-78.289100646972656</v>
      </c>
      <c r="G522">
        <v>33109</v>
      </c>
      <c r="H522">
        <v>1001</v>
      </c>
      <c r="I522" t="s">
        <v>596</v>
      </c>
      <c r="J522">
        <v>9.1622495651245117</v>
      </c>
      <c r="K522">
        <v>-78.289100646972656</v>
      </c>
      <c r="L522">
        <v>33109</v>
      </c>
      <c r="M522">
        <v>100103</v>
      </c>
      <c r="N522" t="s">
        <v>599</v>
      </c>
      <c r="O522">
        <v>8.615839958190918</v>
      </c>
      <c r="P522">
        <v>-77.435897827148438</v>
      </c>
      <c r="Q522">
        <v>672</v>
      </c>
    </row>
    <row r="523" spans="1:17" x14ac:dyDescent="0.25">
      <c r="A523">
        <v>512</v>
      </c>
      <c r="B523" t="str">
        <f t="shared" si="7"/>
        <v>Tubualá</v>
      </c>
      <c r="C523">
        <v>10</v>
      </c>
      <c r="D523" t="s">
        <v>596</v>
      </c>
      <c r="E523">
        <v>9.1622495651245117</v>
      </c>
      <c r="F523">
        <v>-78.289100646972656</v>
      </c>
      <c r="G523">
        <v>33109</v>
      </c>
      <c r="H523">
        <v>1001</v>
      </c>
      <c r="I523" t="s">
        <v>596</v>
      </c>
      <c r="J523">
        <v>9.1622495651245117</v>
      </c>
      <c r="K523">
        <v>-78.289100646972656</v>
      </c>
      <c r="L523">
        <v>33109</v>
      </c>
      <c r="M523">
        <v>100104</v>
      </c>
      <c r="N523" t="s">
        <v>600</v>
      </c>
      <c r="O523">
        <v>8.8618402481079102</v>
      </c>
      <c r="P523">
        <v>-77.7156982421875</v>
      </c>
      <c r="Q523">
        <v>6733</v>
      </c>
    </row>
    <row r="524" spans="1:17" x14ac:dyDescent="0.25">
      <c r="A524">
        <v>513</v>
      </c>
      <c r="B524" t="str">
        <f t="shared" ref="B524:B587" si="8">+N524</f>
        <v>Cirilo Guaynora (Cabecera)</v>
      </c>
      <c r="C524">
        <v>11</v>
      </c>
      <c r="D524" t="s">
        <v>601</v>
      </c>
      <c r="E524">
        <v>8.2459402084350586</v>
      </c>
      <c r="F524">
        <v>-77.762001037597656</v>
      </c>
      <c r="G524">
        <v>10001</v>
      </c>
      <c r="H524">
        <v>1101</v>
      </c>
      <c r="I524" t="s">
        <v>602</v>
      </c>
      <c r="J524">
        <v>8.420720100402832</v>
      </c>
      <c r="K524">
        <v>-77.606201171875</v>
      </c>
      <c r="L524">
        <v>7715</v>
      </c>
      <c r="M524">
        <v>110101</v>
      </c>
      <c r="N524" t="s">
        <v>603</v>
      </c>
      <c r="O524">
        <v>8.1568098068237305</v>
      </c>
      <c r="P524">
        <v>-77.460403442382813</v>
      </c>
      <c r="Q524">
        <v>2197</v>
      </c>
    </row>
    <row r="525" spans="1:17" x14ac:dyDescent="0.25">
      <c r="A525">
        <v>514</v>
      </c>
      <c r="B525" t="str">
        <f t="shared" si="8"/>
        <v>Lajas Blancas</v>
      </c>
      <c r="C525">
        <v>11</v>
      </c>
      <c r="D525" t="s">
        <v>601</v>
      </c>
      <c r="E525">
        <v>8.2459402084350586</v>
      </c>
      <c r="F525">
        <v>-77.762001037597656</v>
      </c>
      <c r="G525">
        <v>10001</v>
      </c>
      <c r="H525">
        <v>1101</v>
      </c>
      <c r="I525" t="s">
        <v>602</v>
      </c>
      <c r="J525">
        <v>8.420720100402832</v>
      </c>
      <c r="K525">
        <v>-77.606201171875</v>
      </c>
      <c r="L525">
        <v>7715</v>
      </c>
      <c r="M525">
        <v>110102</v>
      </c>
      <c r="N525" t="s">
        <v>604</v>
      </c>
      <c r="O525">
        <v>8.5474700927734375</v>
      </c>
      <c r="P525">
        <v>-77.707496643066406</v>
      </c>
      <c r="Q525">
        <v>3735</v>
      </c>
    </row>
    <row r="526" spans="1:17" x14ac:dyDescent="0.25">
      <c r="A526">
        <v>515</v>
      </c>
      <c r="B526" t="str">
        <f t="shared" si="8"/>
        <v>Manuel Ortega</v>
      </c>
      <c r="C526">
        <v>11</v>
      </c>
      <c r="D526" t="s">
        <v>601</v>
      </c>
      <c r="E526">
        <v>8.2459402084350586</v>
      </c>
      <c r="F526">
        <v>-77.762001037597656</v>
      </c>
      <c r="G526">
        <v>10001</v>
      </c>
      <c r="H526">
        <v>1101</v>
      </c>
      <c r="I526" t="s">
        <v>602</v>
      </c>
      <c r="J526">
        <v>8.420720100402832</v>
      </c>
      <c r="K526">
        <v>-77.606201171875</v>
      </c>
      <c r="L526">
        <v>7715</v>
      </c>
      <c r="M526">
        <v>110103</v>
      </c>
      <c r="N526" t="s">
        <v>605</v>
      </c>
      <c r="O526">
        <v>8.3226995468139648</v>
      </c>
      <c r="P526">
        <v>-77.499000549316406</v>
      </c>
      <c r="Q526">
        <v>1783</v>
      </c>
    </row>
    <row r="527" spans="1:17" x14ac:dyDescent="0.25">
      <c r="A527">
        <v>516</v>
      </c>
      <c r="B527" t="str">
        <f t="shared" si="8"/>
        <v>Río Sábalo (Cabecera)</v>
      </c>
      <c r="C527">
        <v>11</v>
      </c>
      <c r="D527" t="s">
        <v>601</v>
      </c>
      <c r="E527">
        <v>8.2459402084350586</v>
      </c>
      <c r="F527">
        <v>-77.762001037597656</v>
      </c>
      <c r="G527">
        <v>10001</v>
      </c>
      <c r="H527">
        <v>1102</v>
      </c>
      <c r="I527" t="s">
        <v>307</v>
      </c>
      <c r="J527">
        <v>7.8367500305175781</v>
      </c>
      <c r="K527">
        <v>-78.126899719238281</v>
      </c>
      <c r="L527">
        <v>2286</v>
      </c>
      <c r="M527">
        <v>110201</v>
      </c>
      <c r="N527" t="s">
        <v>606</v>
      </c>
      <c r="O527">
        <v>7.9122800827026367</v>
      </c>
      <c r="P527">
        <v>-78.214302062988281</v>
      </c>
      <c r="Q527">
        <v>1800</v>
      </c>
    </row>
    <row r="528" spans="1:17" x14ac:dyDescent="0.25">
      <c r="A528">
        <v>517</v>
      </c>
      <c r="B528" t="str">
        <f t="shared" si="8"/>
        <v>Jingurudó</v>
      </c>
      <c r="C528">
        <v>11</v>
      </c>
      <c r="D528" t="s">
        <v>601</v>
      </c>
      <c r="E528">
        <v>8.2459402084350586</v>
      </c>
      <c r="F528">
        <v>-77.762001037597656</v>
      </c>
      <c r="G528">
        <v>10001</v>
      </c>
      <c r="H528">
        <v>1102</v>
      </c>
      <c r="I528" t="s">
        <v>307</v>
      </c>
      <c r="J528">
        <v>7.8367500305175781</v>
      </c>
      <c r="K528">
        <v>-78.126899719238281</v>
      </c>
      <c r="L528">
        <v>2286</v>
      </c>
      <c r="M528">
        <v>110202</v>
      </c>
      <c r="N528" t="s">
        <v>607</v>
      </c>
      <c r="O528">
        <v>7.782710075378418</v>
      </c>
      <c r="P528">
        <v>-78.064300537109375</v>
      </c>
      <c r="Q528">
        <v>486</v>
      </c>
    </row>
    <row r="529" spans="1:17" x14ac:dyDescent="0.25">
      <c r="A529">
        <v>518</v>
      </c>
      <c r="B529" t="str">
        <f t="shared" si="8"/>
        <v>Soloy</v>
      </c>
      <c r="C529">
        <v>12</v>
      </c>
      <c r="D529" t="s">
        <v>608</v>
      </c>
      <c r="E529">
        <v>8.6566200256347656</v>
      </c>
      <c r="F529">
        <v>-81.76629638671875</v>
      </c>
      <c r="G529">
        <v>156747</v>
      </c>
      <c r="H529">
        <v>1201</v>
      </c>
      <c r="I529" t="s">
        <v>609</v>
      </c>
      <c r="J529">
        <v>8.5318698883056641</v>
      </c>
      <c r="K529">
        <v>-82.034103393554688</v>
      </c>
      <c r="L529">
        <v>23532</v>
      </c>
      <c r="M529">
        <v>120101</v>
      </c>
      <c r="N529" t="s">
        <v>610</v>
      </c>
      <c r="O529">
        <v>8.5435695648193359</v>
      </c>
      <c r="P529">
        <v>-82.094802856445313</v>
      </c>
      <c r="Q529">
        <v>4153</v>
      </c>
    </row>
    <row r="530" spans="1:17" x14ac:dyDescent="0.25">
      <c r="A530">
        <v>519</v>
      </c>
      <c r="B530" t="str">
        <f t="shared" si="8"/>
        <v>Boca de Balsa</v>
      </c>
      <c r="C530">
        <v>12</v>
      </c>
      <c r="D530" t="s">
        <v>608</v>
      </c>
      <c r="E530">
        <v>8.6566200256347656</v>
      </c>
      <c r="F530">
        <v>-81.76629638671875</v>
      </c>
      <c r="G530">
        <v>156747</v>
      </c>
      <c r="H530">
        <v>1201</v>
      </c>
      <c r="I530" t="s">
        <v>609</v>
      </c>
      <c r="J530">
        <v>8.5318698883056641</v>
      </c>
      <c r="K530">
        <v>-82.034103393554688</v>
      </c>
      <c r="L530">
        <v>23532</v>
      </c>
      <c r="M530">
        <v>120102</v>
      </c>
      <c r="N530" t="s">
        <v>611</v>
      </c>
      <c r="O530">
        <v>8.5894098281860352</v>
      </c>
      <c r="P530">
        <v>-82.031303405761719</v>
      </c>
      <c r="Q530">
        <v>3053</v>
      </c>
    </row>
    <row r="531" spans="1:17" x14ac:dyDescent="0.25">
      <c r="A531">
        <v>520</v>
      </c>
      <c r="B531" t="str">
        <f t="shared" si="8"/>
        <v>Camarón Arriba</v>
      </c>
      <c r="C531">
        <v>12</v>
      </c>
      <c r="D531" t="s">
        <v>608</v>
      </c>
      <c r="E531">
        <v>8.6566200256347656</v>
      </c>
      <c r="F531">
        <v>-81.76629638671875</v>
      </c>
      <c r="G531">
        <v>156747</v>
      </c>
      <c r="H531">
        <v>1201</v>
      </c>
      <c r="I531" t="s">
        <v>609</v>
      </c>
      <c r="J531">
        <v>8.5318698883056641</v>
      </c>
      <c r="K531">
        <v>-82.034103393554688</v>
      </c>
      <c r="L531">
        <v>23532</v>
      </c>
      <c r="M531">
        <v>120103</v>
      </c>
      <c r="N531" t="s">
        <v>612</v>
      </c>
      <c r="O531">
        <v>8.3945598602294922</v>
      </c>
      <c r="P531">
        <v>-81.996101379394531</v>
      </c>
      <c r="Q531">
        <v>2977</v>
      </c>
    </row>
    <row r="532" spans="1:17" x14ac:dyDescent="0.25">
      <c r="A532">
        <v>521</v>
      </c>
      <c r="B532" t="str">
        <f t="shared" si="8"/>
        <v>Cerro Banco</v>
      </c>
      <c r="C532">
        <v>12</v>
      </c>
      <c r="D532" t="s">
        <v>608</v>
      </c>
      <c r="E532">
        <v>8.6566200256347656</v>
      </c>
      <c r="F532">
        <v>-81.76629638671875</v>
      </c>
      <c r="G532">
        <v>156747</v>
      </c>
      <c r="H532">
        <v>1201</v>
      </c>
      <c r="I532" t="s">
        <v>609</v>
      </c>
      <c r="J532">
        <v>8.5318698883056641</v>
      </c>
      <c r="K532">
        <v>-82.034103393554688</v>
      </c>
      <c r="L532">
        <v>23532</v>
      </c>
      <c r="M532">
        <v>120104</v>
      </c>
      <c r="N532" t="s">
        <v>613</v>
      </c>
      <c r="O532">
        <v>8.4693603515625</v>
      </c>
      <c r="P532">
        <v>-82.012199401855469</v>
      </c>
      <c r="Q532">
        <v>3913</v>
      </c>
    </row>
    <row r="533" spans="1:17" x14ac:dyDescent="0.25">
      <c r="A533">
        <v>522</v>
      </c>
      <c r="B533" t="str">
        <f t="shared" si="8"/>
        <v>Cerro de Patena</v>
      </c>
      <c r="C533">
        <v>12</v>
      </c>
      <c r="D533" t="s">
        <v>608</v>
      </c>
      <c r="E533">
        <v>8.6566200256347656</v>
      </c>
      <c r="F533">
        <v>-81.76629638671875</v>
      </c>
      <c r="G533">
        <v>156747</v>
      </c>
      <c r="H533">
        <v>1201</v>
      </c>
      <c r="I533" t="s">
        <v>609</v>
      </c>
      <c r="J533">
        <v>8.5318698883056641</v>
      </c>
      <c r="K533">
        <v>-82.034103393554688</v>
      </c>
      <c r="L533">
        <v>23532</v>
      </c>
      <c r="M533">
        <v>120105</v>
      </c>
      <c r="N533" t="s">
        <v>614</v>
      </c>
      <c r="O533">
        <v>8.4432296752929688</v>
      </c>
      <c r="P533">
        <v>-81.933296203613281</v>
      </c>
      <c r="Q533">
        <v>1730</v>
      </c>
    </row>
    <row r="534" spans="1:17" x14ac:dyDescent="0.25">
      <c r="A534">
        <v>523</v>
      </c>
      <c r="B534" t="str">
        <f t="shared" si="8"/>
        <v>Emplanada de Chorcha</v>
      </c>
      <c r="C534">
        <v>12</v>
      </c>
      <c r="D534" t="s">
        <v>608</v>
      </c>
      <c r="E534">
        <v>8.6566200256347656</v>
      </c>
      <c r="F534">
        <v>-81.76629638671875</v>
      </c>
      <c r="G534">
        <v>156747</v>
      </c>
      <c r="H534">
        <v>1201</v>
      </c>
      <c r="I534" t="s">
        <v>609</v>
      </c>
      <c r="J534">
        <v>8.5318698883056641</v>
      </c>
      <c r="K534">
        <v>-82.034103393554688</v>
      </c>
      <c r="L534">
        <v>23532</v>
      </c>
      <c r="M534">
        <v>120106</v>
      </c>
      <c r="N534" t="s">
        <v>615</v>
      </c>
      <c r="O534">
        <v>8.6045398712158203</v>
      </c>
      <c r="P534">
        <v>-82.141998291015625</v>
      </c>
      <c r="Q534">
        <v>2348</v>
      </c>
    </row>
    <row r="535" spans="1:17" x14ac:dyDescent="0.25">
      <c r="A535">
        <v>524</v>
      </c>
      <c r="B535" t="str">
        <f t="shared" si="8"/>
        <v>Nämnoni</v>
      </c>
      <c r="C535">
        <v>12</v>
      </c>
      <c r="D535" t="s">
        <v>608</v>
      </c>
      <c r="E535">
        <v>8.6566200256347656</v>
      </c>
      <c r="F535">
        <v>-81.76629638671875</v>
      </c>
      <c r="G535">
        <v>156747</v>
      </c>
      <c r="H535">
        <v>1201</v>
      </c>
      <c r="I535" t="s">
        <v>609</v>
      </c>
      <c r="J535">
        <v>8.5318698883056641</v>
      </c>
      <c r="K535">
        <v>-82.034103393554688</v>
      </c>
      <c r="L535">
        <v>23532</v>
      </c>
      <c r="M535">
        <v>120107</v>
      </c>
      <c r="N535" t="s">
        <v>616</v>
      </c>
      <c r="O535">
        <v>8.3690204620361328</v>
      </c>
      <c r="P535">
        <v>-81.969902038574219</v>
      </c>
      <c r="Q535">
        <v>1867</v>
      </c>
    </row>
    <row r="536" spans="1:17" x14ac:dyDescent="0.25">
      <c r="A536">
        <v>525</v>
      </c>
      <c r="B536" t="str">
        <f t="shared" si="8"/>
        <v>Niba</v>
      </c>
      <c r="C536">
        <v>12</v>
      </c>
      <c r="D536" t="s">
        <v>608</v>
      </c>
      <c r="E536">
        <v>8.6566200256347656</v>
      </c>
      <c r="F536">
        <v>-81.76629638671875</v>
      </c>
      <c r="G536">
        <v>156747</v>
      </c>
      <c r="H536">
        <v>1201</v>
      </c>
      <c r="I536" t="s">
        <v>609</v>
      </c>
      <c r="J536">
        <v>8.5318698883056641</v>
      </c>
      <c r="K536">
        <v>-82.034103393554688</v>
      </c>
      <c r="L536">
        <v>23532</v>
      </c>
      <c r="M536">
        <v>120108</v>
      </c>
      <c r="N536" t="s">
        <v>617</v>
      </c>
      <c r="O536">
        <v>8.5634403228759766</v>
      </c>
      <c r="P536">
        <v>-81.953598022460938</v>
      </c>
      <c r="Q536">
        <v>3491</v>
      </c>
    </row>
    <row r="537" spans="1:17" x14ac:dyDescent="0.25">
      <c r="A537">
        <v>526</v>
      </c>
      <c r="B537" t="str">
        <f t="shared" si="8"/>
        <v>Hato Pilón (Cabecera)</v>
      </c>
      <c r="C537">
        <v>12</v>
      </c>
      <c r="D537" t="s">
        <v>608</v>
      </c>
      <c r="E537">
        <v>8.6566200256347656</v>
      </c>
      <c r="F537">
        <v>-81.76629638671875</v>
      </c>
      <c r="G537">
        <v>156747</v>
      </c>
      <c r="H537">
        <v>1202</v>
      </c>
      <c r="I537" t="s">
        <v>618</v>
      </c>
      <c r="J537">
        <v>8.4575004577636719</v>
      </c>
      <c r="K537">
        <v>-81.87969970703125</v>
      </c>
      <c r="L537">
        <v>15010</v>
      </c>
      <c r="M537">
        <v>120201</v>
      </c>
      <c r="N537" t="s">
        <v>619</v>
      </c>
      <c r="O537">
        <v>8.3938999176025391</v>
      </c>
      <c r="P537">
        <v>-81.83599853515625</v>
      </c>
      <c r="Q537">
        <v>2356</v>
      </c>
    </row>
    <row r="538" spans="1:17" x14ac:dyDescent="0.25">
      <c r="A538">
        <v>527</v>
      </c>
      <c r="B538" t="str">
        <f t="shared" si="8"/>
        <v>Cascabel</v>
      </c>
      <c r="C538">
        <v>12</v>
      </c>
      <c r="D538" t="s">
        <v>608</v>
      </c>
      <c r="E538">
        <v>8.6566200256347656</v>
      </c>
      <c r="F538">
        <v>-81.76629638671875</v>
      </c>
      <c r="G538">
        <v>156747</v>
      </c>
      <c r="H538">
        <v>1202</v>
      </c>
      <c r="I538" t="s">
        <v>618</v>
      </c>
      <c r="J538">
        <v>8.4575004577636719</v>
      </c>
      <c r="K538">
        <v>-81.87969970703125</v>
      </c>
      <c r="L538">
        <v>15010</v>
      </c>
      <c r="M538">
        <v>120202</v>
      </c>
      <c r="N538" t="s">
        <v>620</v>
      </c>
      <c r="O538">
        <v>8.5583600997924805</v>
      </c>
      <c r="P538">
        <v>-81.879898071289063</v>
      </c>
      <c r="Q538">
        <v>1225</v>
      </c>
    </row>
    <row r="539" spans="1:17" x14ac:dyDescent="0.25">
      <c r="A539">
        <v>528</v>
      </c>
      <c r="B539" t="str">
        <f t="shared" si="8"/>
        <v>Hato Corotú</v>
      </c>
      <c r="C539">
        <v>12</v>
      </c>
      <c r="D539" t="s">
        <v>608</v>
      </c>
      <c r="E539">
        <v>8.6566200256347656</v>
      </c>
      <c r="F539">
        <v>-81.76629638671875</v>
      </c>
      <c r="G539">
        <v>156747</v>
      </c>
      <c r="H539">
        <v>1202</v>
      </c>
      <c r="I539" t="s">
        <v>618</v>
      </c>
      <c r="J539">
        <v>8.4575004577636719</v>
      </c>
      <c r="K539">
        <v>-81.87969970703125</v>
      </c>
      <c r="L539">
        <v>15010</v>
      </c>
      <c r="M539">
        <v>120203</v>
      </c>
      <c r="N539" t="s">
        <v>621</v>
      </c>
      <c r="O539">
        <v>8.3419904708862305</v>
      </c>
      <c r="P539">
        <v>-81.959098815917969</v>
      </c>
      <c r="Q539">
        <v>2134</v>
      </c>
    </row>
    <row r="540" spans="1:17" x14ac:dyDescent="0.25">
      <c r="A540">
        <v>529</v>
      </c>
      <c r="B540" t="str">
        <f t="shared" si="8"/>
        <v>Hato Culantro</v>
      </c>
      <c r="C540">
        <v>12</v>
      </c>
      <c r="D540" t="s">
        <v>608</v>
      </c>
      <c r="E540">
        <v>8.6566200256347656</v>
      </c>
      <c r="F540">
        <v>-81.76629638671875</v>
      </c>
      <c r="G540">
        <v>156747</v>
      </c>
      <c r="H540">
        <v>1202</v>
      </c>
      <c r="I540" t="s">
        <v>618</v>
      </c>
      <c r="J540">
        <v>8.4575004577636719</v>
      </c>
      <c r="K540">
        <v>-81.87969970703125</v>
      </c>
      <c r="L540">
        <v>15010</v>
      </c>
      <c r="M540">
        <v>120204</v>
      </c>
      <c r="N540" t="s">
        <v>622</v>
      </c>
      <c r="O540">
        <v>8.4567899703979492</v>
      </c>
      <c r="P540">
        <v>-81.865997314453125</v>
      </c>
      <c r="Q540">
        <v>2110</v>
      </c>
    </row>
    <row r="541" spans="1:17" x14ac:dyDescent="0.25">
      <c r="A541">
        <v>530</v>
      </c>
      <c r="B541" t="str">
        <f t="shared" si="8"/>
        <v>Hato Jobo</v>
      </c>
      <c r="C541">
        <v>12</v>
      </c>
      <c r="D541" t="s">
        <v>608</v>
      </c>
      <c r="E541">
        <v>8.6566200256347656</v>
      </c>
      <c r="F541">
        <v>-81.76629638671875</v>
      </c>
      <c r="G541">
        <v>156747</v>
      </c>
      <c r="H541">
        <v>1202</v>
      </c>
      <c r="I541" t="s">
        <v>618</v>
      </c>
      <c r="J541">
        <v>8.4575004577636719</v>
      </c>
      <c r="K541">
        <v>-81.87969970703125</v>
      </c>
      <c r="L541">
        <v>15010</v>
      </c>
      <c r="M541">
        <v>120205</v>
      </c>
      <c r="N541" t="s">
        <v>623</v>
      </c>
      <c r="O541">
        <v>8.3995504379272461</v>
      </c>
      <c r="P541">
        <v>-81.899101257324219</v>
      </c>
      <c r="Q541">
        <v>1393</v>
      </c>
    </row>
    <row r="542" spans="1:17" x14ac:dyDescent="0.25">
      <c r="A542">
        <v>531</v>
      </c>
      <c r="B542" t="str">
        <f t="shared" si="8"/>
        <v>Hato Julí</v>
      </c>
      <c r="C542">
        <v>12</v>
      </c>
      <c r="D542" t="s">
        <v>608</v>
      </c>
      <c r="E542">
        <v>8.6566200256347656</v>
      </c>
      <c r="F542">
        <v>-81.76629638671875</v>
      </c>
      <c r="G542">
        <v>156747</v>
      </c>
      <c r="H542">
        <v>1202</v>
      </c>
      <c r="I542" t="s">
        <v>618</v>
      </c>
      <c r="J542">
        <v>8.4575004577636719</v>
      </c>
      <c r="K542">
        <v>-81.87969970703125</v>
      </c>
      <c r="L542">
        <v>15010</v>
      </c>
      <c r="M542">
        <v>120206</v>
      </c>
      <c r="N542" t="s">
        <v>624</v>
      </c>
      <c r="O542">
        <v>8.3572702407836914</v>
      </c>
      <c r="P542">
        <v>-81.851402282714844</v>
      </c>
      <c r="Q542">
        <v>1504</v>
      </c>
    </row>
    <row r="543" spans="1:17" x14ac:dyDescent="0.25">
      <c r="A543">
        <v>532</v>
      </c>
      <c r="B543" t="str">
        <f t="shared" si="8"/>
        <v>Quebrada de Loro</v>
      </c>
      <c r="C543">
        <v>12</v>
      </c>
      <c r="D543" t="s">
        <v>608</v>
      </c>
      <c r="E543">
        <v>8.6566200256347656</v>
      </c>
      <c r="F543">
        <v>-81.76629638671875</v>
      </c>
      <c r="G543">
        <v>156747</v>
      </c>
      <c r="H543">
        <v>1202</v>
      </c>
      <c r="I543" t="s">
        <v>618</v>
      </c>
      <c r="J543">
        <v>8.4575004577636719</v>
      </c>
      <c r="K543">
        <v>-81.87969970703125</v>
      </c>
      <c r="L543">
        <v>15010</v>
      </c>
      <c r="M543">
        <v>120207</v>
      </c>
      <c r="N543" t="s">
        <v>625</v>
      </c>
      <c r="O543">
        <v>8.3495101928710938</v>
      </c>
      <c r="P543">
        <v>-81.924896240234375</v>
      </c>
      <c r="Q543">
        <v>1616</v>
      </c>
    </row>
    <row r="544" spans="1:17" x14ac:dyDescent="0.25">
      <c r="A544">
        <v>533</v>
      </c>
      <c r="B544" t="str">
        <f t="shared" si="8"/>
        <v>Salto Dupí</v>
      </c>
      <c r="C544">
        <v>12</v>
      </c>
      <c r="D544" t="s">
        <v>608</v>
      </c>
      <c r="E544">
        <v>8.6566200256347656</v>
      </c>
      <c r="F544">
        <v>-81.76629638671875</v>
      </c>
      <c r="G544">
        <v>156747</v>
      </c>
      <c r="H544">
        <v>1202</v>
      </c>
      <c r="I544" t="s">
        <v>618</v>
      </c>
      <c r="J544">
        <v>8.4575004577636719</v>
      </c>
      <c r="K544">
        <v>-81.87969970703125</v>
      </c>
      <c r="L544">
        <v>15010</v>
      </c>
      <c r="M544">
        <v>120208</v>
      </c>
      <c r="N544" t="s">
        <v>626</v>
      </c>
      <c r="O544">
        <v>8.3572702407836914</v>
      </c>
      <c r="P544">
        <v>-81.887901306152344</v>
      </c>
      <c r="Q544">
        <v>2672</v>
      </c>
    </row>
    <row r="545" spans="1:17" x14ac:dyDescent="0.25">
      <c r="A545">
        <v>534</v>
      </c>
      <c r="B545" t="str">
        <f t="shared" si="8"/>
        <v>Chichica (Cabecera)</v>
      </c>
      <c r="C545">
        <v>12</v>
      </c>
      <c r="D545" t="s">
        <v>608</v>
      </c>
      <c r="E545">
        <v>8.6566200256347656</v>
      </c>
      <c r="F545">
        <v>-81.76629638671875</v>
      </c>
      <c r="G545">
        <v>156747</v>
      </c>
      <c r="H545">
        <v>1203</v>
      </c>
      <c r="I545" t="s">
        <v>627</v>
      </c>
      <c r="J545">
        <v>8.4341402053833008</v>
      </c>
      <c r="K545">
        <v>-81.631301879882813</v>
      </c>
      <c r="L545">
        <v>36075</v>
      </c>
      <c r="M545">
        <v>120301</v>
      </c>
      <c r="N545" t="s">
        <v>628</v>
      </c>
      <c r="O545">
        <v>8.3790998458862305</v>
      </c>
      <c r="P545">
        <v>-81.677299499511719</v>
      </c>
      <c r="Q545">
        <v>5368</v>
      </c>
    </row>
    <row r="546" spans="1:17" x14ac:dyDescent="0.25">
      <c r="A546">
        <v>535</v>
      </c>
      <c r="B546" t="str">
        <f t="shared" si="8"/>
        <v>Alto Caballero</v>
      </c>
      <c r="C546">
        <v>12</v>
      </c>
      <c r="D546" t="s">
        <v>608</v>
      </c>
      <c r="E546">
        <v>8.6566200256347656</v>
      </c>
      <c r="F546">
        <v>-81.76629638671875</v>
      </c>
      <c r="G546">
        <v>156747</v>
      </c>
      <c r="H546">
        <v>1203</v>
      </c>
      <c r="I546" t="s">
        <v>627</v>
      </c>
      <c r="J546">
        <v>8.4341402053833008</v>
      </c>
      <c r="K546">
        <v>-81.631301879882813</v>
      </c>
      <c r="L546">
        <v>36075</v>
      </c>
      <c r="M546">
        <v>120302</v>
      </c>
      <c r="N546" t="s">
        <v>629</v>
      </c>
      <c r="O546">
        <v>8.2994499206542969</v>
      </c>
      <c r="P546">
        <v>-81.675498962402344</v>
      </c>
      <c r="Q546">
        <v>3854</v>
      </c>
    </row>
    <row r="547" spans="1:17" x14ac:dyDescent="0.25">
      <c r="A547">
        <v>536</v>
      </c>
      <c r="B547" t="str">
        <f t="shared" si="8"/>
        <v>Bakama</v>
      </c>
      <c r="C547">
        <v>12</v>
      </c>
      <c r="D547" t="s">
        <v>608</v>
      </c>
      <c r="E547">
        <v>8.6566200256347656</v>
      </c>
      <c r="F547">
        <v>-81.76629638671875</v>
      </c>
      <c r="G547">
        <v>156747</v>
      </c>
      <c r="H547">
        <v>1203</v>
      </c>
      <c r="I547" t="s">
        <v>627</v>
      </c>
      <c r="J547">
        <v>8.4341402053833008</v>
      </c>
      <c r="K547">
        <v>-81.631301879882813</v>
      </c>
      <c r="L547">
        <v>36075</v>
      </c>
      <c r="M547">
        <v>120303</v>
      </c>
      <c r="N547" t="s">
        <v>630</v>
      </c>
      <c r="O547">
        <v>8.2470998764038086</v>
      </c>
      <c r="P547">
        <v>-81.593299865722656</v>
      </c>
      <c r="Q547">
        <v>1204</v>
      </c>
    </row>
    <row r="548" spans="1:17" x14ac:dyDescent="0.25">
      <c r="A548">
        <v>537</v>
      </c>
      <c r="B548" t="str">
        <f t="shared" si="8"/>
        <v>Cerro Caña</v>
      </c>
      <c r="C548">
        <v>12</v>
      </c>
      <c r="D548" t="s">
        <v>608</v>
      </c>
      <c r="E548">
        <v>8.6566200256347656</v>
      </c>
      <c r="F548">
        <v>-81.76629638671875</v>
      </c>
      <c r="G548">
        <v>156747</v>
      </c>
      <c r="H548">
        <v>1203</v>
      </c>
      <c r="I548" t="s">
        <v>627</v>
      </c>
      <c r="J548">
        <v>8.4341402053833008</v>
      </c>
      <c r="K548">
        <v>-81.631301879882813</v>
      </c>
      <c r="L548">
        <v>36075</v>
      </c>
      <c r="M548">
        <v>120304</v>
      </c>
      <c r="N548" t="s">
        <v>631</v>
      </c>
      <c r="O548">
        <v>8.3300304412841797</v>
      </c>
      <c r="P548">
        <v>-81.63189697265625</v>
      </c>
      <c r="Q548">
        <v>2146</v>
      </c>
    </row>
    <row r="549" spans="1:17" x14ac:dyDescent="0.25">
      <c r="A549">
        <v>538</v>
      </c>
      <c r="B549" t="str">
        <f t="shared" si="8"/>
        <v>Cerro Puerco</v>
      </c>
      <c r="C549">
        <v>12</v>
      </c>
      <c r="D549" t="s">
        <v>608</v>
      </c>
      <c r="E549">
        <v>8.6566200256347656</v>
      </c>
      <c r="F549">
        <v>-81.76629638671875</v>
      </c>
      <c r="G549">
        <v>156747</v>
      </c>
      <c r="H549">
        <v>1203</v>
      </c>
      <c r="I549" t="s">
        <v>627</v>
      </c>
      <c r="J549">
        <v>8.4341402053833008</v>
      </c>
      <c r="K549">
        <v>-81.631301879882813</v>
      </c>
      <c r="L549">
        <v>36075</v>
      </c>
      <c r="M549">
        <v>120305</v>
      </c>
      <c r="N549" t="s">
        <v>632</v>
      </c>
      <c r="O549">
        <v>8.3379898071289063</v>
      </c>
      <c r="P549">
        <v>-81.761199951171875</v>
      </c>
      <c r="Q549">
        <v>4327</v>
      </c>
    </row>
    <row r="550" spans="1:17" x14ac:dyDescent="0.25">
      <c r="A550">
        <v>539</v>
      </c>
      <c r="B550" t="str">
        <f t="shared" si="8"/>
        <v>Krüa</v>
      </c>
      <c r="C550">
        <v>12</v>
      </c>
      <c r="D550" t="s">
        <v>608</v>
      </c>
      <c r="E550">
        <v>8.6566200256347656</v>
      </c>
      <c r="F550">
        <v>-81.76629638671875</v>
      </c>
      <c r="G550">
        <v>156747</v>
      </c>
      <c r="H550">
        <v>1203</v>
      </c>
      <c r="I550" t="s">
        <v>627</v>
      </c>
      <c r="J550">
        <v>8.4341402053833008</v>
      </c>
      <c r="K550">
        <v>-81.631301879882813</v>
      </c>
      <c r="L550">
        <v>36075</v>
      </c>
      <c r="M550">
        <v>120306</v>
      </c>
      <c r="N550" t="s">
        <v>633</v>
      </c>
      <c r="O550">
        <v>8.5417804718017578</v>
      </c>
      <c r="P550">
        <v>-81.550300598144531</v>
      </c>
      <c r="Q550">
        <v>2180</v>
      </c>
    </row>
    <row r="551" spans="1:17" x14ac:dyDescent="0.25">
      <c r="A551">
        <v>540</v>
      </c>
      <c r="B551" t="str">
        <f t="shared" si="8"/>
        <v>Maraca</v>
      </c>
      <c r="C551">
        <v>12</v>
      </c>
      <c r="D551" t="s">
        <v>608</v>
      </c>
      <c r="E551">
        <v>8.6566200256347656</v>
      </c>
      <c r="F551">
        <v>-81.76629638671875</v>
      </c>
      <c r="G551">
        <v>156747</v>
      </c>
      <c r="H551">
        <v>1203</v>
      </c>
      <c r="I551" t="s">
        <v>627</v>
      </c>
      <c r="J551">
        <v>8.4341402053833008</v>
      </c>
      <c r="K551">
        <v>-81.631301879882813</v>
      </c>
      <c r="L551">
        <v>36075</v>
      </c>
      <c r="M551">
        <v>120307</v>
      </c>
      <c r="N551" t="s">
        <v>634</v>
      </c>
      <c r="O551">
        <v>8.3744497299194336</v>
      </c>
      <c r="P551">
        <v>-81.726699829101563</v>
      </c>
      <c r="Q551">
        <v>3224</v>
      </c>
    </row>
    <row r="552" spans="1:17" x14ac:dyDescent="0.25">
      <c r="A552">
        <v>541</v>
      </c>
      <c r="B552" t="str">
        <f t="shared" si="8"/>
        <v>Nibra</v>
      </c>
      <c r="C552">
        <v>12</v>
      </c>
      <c r="D552" t="s">
        <v>608</v>
      </c>
      <c r="E552">
        <v>8.6566200256347656</v>
      </c>
      <c r="F552">
        <v>-81.76629638671875</v>
      </c>
      <c r="G552">
        <v>156747</v>
      </c>
      <c r="H552">
        <v>1203</v>
      </c>
      <c r="I552" t="s">
        <v>627</v>
      </c>
      <c r="J552">
        <v>8.4341402053833008</v>
      </c>
      <c r="K552">
        <v>-81.631301879882813</v>
      </c>
      <c r="L552">
        <v>36075</v>
      </c>
      <c r="M552">
        <v>120308</v>
      </c>
      <c r="N552" t="s">
        <v>635</v>
      </c>
      <c r="O552">
        <v>8.295689582824707</v>
      </c>
      <c r="P552">
        <v>-81.554901123046875</v>
      </c>
      <c r="Q552">
        <v>2091</v>
      </c>
    </row>
    <row r="553" spans="1:17" x14ac:dyDescent="0.25">
      <c r="A553">
        <v>542</v>
      </c>
      <c r="B553" t="str">
        <f t="shared" si="8"/>
        <v>Peña Blanca</v>
      </c>
      <c r="C553">
        <v>12</v>
      </c>
      <c r="D553" t="s">
        <v>608</v>
      </c>
      <c r="E553">
        <v>8.6566200256347656</v>
      </c>
      <c r="F553">
        <v>-81.76629638671875</v>
      </c>
      <c r="G553">
        <v>156747</v>
      </c>
      <c r="H553">
        <v>1203</v>
      </c>
      <c r="I553" t="s">
        <v>627</v>
      </c>
      <c r="J553">
        <v>8.4341402053833008</v>
      </c>
      <c r="K553">
        <v>-81.631301879882813</v>
      </c>
      <c r="L553">
        <v>36075</v>
      </c>
      <c r="M553">
        <v>120309</v>
      </c>
      <c r="N553" t="s">
        <v>400</v>
      </c>
      <c r="O553">
        <v>8.4893102645874023</v>
      </c>
      <c r="P553">
        <v>-81.673698425292969</v>
      </c>
      <c r="Q553">
        <v>3358</v>
      </c>
    </row>
    <row r="554" spans="1:17" x14ac:dyDescent="0.25">
      <c r="A554">
        <v>543</v>
      </c>
      <c r="B554" t="str">
        <f t="shared" si="8"/>
        <v>Roka o Rokari</v>
      </c>
      <c r="C554">
        <v>12</v>
      </c>
      <c r="D554" t="s">
        <v>608</v>
      </c>
      <c r="E554">
        <v>8.6566200256347656</v>
      </c>
      <c r="F554">
        <v>-81.76629638671875</v>
      </c>
      <c r="G554">
        <v>156747</v>
      </c>
      <c r="H554">
        <v>1203</v>
      </c>
      <c r="I554" t="s">
        <v>627</v>
      </c>
      <c r="J554">
        <v>8.4341402053833008</v>
      </c>
      <c r="K554">
        <v>-81.631301879882813</v>
      </c>
      <c r="L554">
        <v>36075</v>
      </c>
      <c r="M554">
        <v>120310</v>
      </c>
      <c r="N554" t="s">
        <v>636</v>
      </c>
      <c r="O554">
        <v>8.4993801116943359</v>
      </c>
      <c r="P554">
        <v>-81.614898681640625</v>
      </c>
      <c r="Q554">
        <v>2697</v>
      </c>
    </row>
    <row r="555" spans="1:17" x14ac:dyDescent="0.25">
      <c r="A555">
        <v>544</v>
      </c>
      <c r="B555" t="str">
        <f t="shared" si="8"/>
        <v>Sitio Prado</v>
      </c>
      <c r="C555">
        <v>12</v>
      </c>
      <c r="D555" t="s">
        <v>608</v>
      </c>
      <c r="E555">
        <v>8.6566200256347656</v>
      </c>
      <c r="F555">
        <v>-81.76629638671875</v>
      </c>
      <c r="G555">
        <v>156747</v>
      </c>
      <c r="H555">
        <v>1203</v>
      </c>
      <c r="I555" t="s">
        <v>627</v>
      </c>
      <c r="J555">
        <v>8.4341402053833008</v>
      </c>
      <c r="K555">
        <v>-81.631301879882813</v>
      </c>
      <c r="L555">
        <v>36075</v>
      </c>
      <c r="M555">
        <v>120311</v>
      </c>
      <c r="N555" t="s">
        <v>637</v>
      </c>
      <c r="O555">
        <v>8.4100704193115234</v>
      </c>
      <c r="P555">
        <v>-81.595199584960938</v>
      </c>
      <c r="Q555">
        <v>3478</v>
      </c>
    </row>
    <row r="556" spans="1:17" x14ac:dyDescent="0.25">
      <c r="A556">
        <v>545</v>
      </c>
      <c r="B556" t="str">
        <f t="shared" si="8"/>
        <v>Ümani</v>
      </c>
      <c r="C556">
        <v>12</v>
      </c>
      <c r="D556" t="s">
        <v>608</v>
      </c>
      <c r="E556">
        <v>8.6566200256347656</v>
      </c>
      <c r="F556">
        <v>-81.76629638671875</v>
      </c>
      <c r="G556">
        <v>156747</v>
      </c>
      <c r="H556">
        <v>1203</v>
      </c>
      <c r="I556" t="s">
        <v>627</v>
      </c>
      <c r="J556">
        <v>8.4341402053833008</v>
      </c>
      <c r="K556">
        <v>-81.631301879882813</v>
      </c>
      <c r="L556">
        <v>36075</v>
      </c>
      <c r="M556">
        <v>120312</v>
      </c>
      <c r="N556" t="s">
        <v>638</v>
      </c>
      <c r="O556">
        <v>8.3135204315185547</v>
      </c>
      <c r="P556">
        <v>-81.724601745605469</v>
      </c>
      <c r="Q556">
        <v>2148</v>
      </c>
    </row>
    <row r="557" spans="1:17" x14ac:dyDescent="0.25">
      <c r="A557">
        <v>546</v>
      </c>
      <c r="B557" t="str">
        <f t="shared" si="8"/>
        <v>Cerro Iglesias (Cabecera)</v>
      </c>
      <c r="C557">
        <v>12</v>
      </c>
      <c r="D557" t="s">
        <v>608</v>
      </c>
      <c r="E557">
        <v>8.6566200256347656</v>
      </c>
      <c r="F557">
        <v>-81.76629638671875</v>
      </c>
      <c r="G557">
        <v>156747</v>
      </c>
      <c r="H557">
        <v>1204</v>
      </c>
      <c r="I557" t="s">
        <v>639</v>
      </c>
      <c r="J557">
        <v>8.4115104675292969</v>
      </c>
      <c r="K557">
        <v>-81.793403625488281</v>
      </c>
      <c r="L557">
        <v>14928</v>
      </c>
      <c r="M557">
        <v>120401</v>
      </c>
      <c r="N557" t="s">
        <v>640</v>
      </c>
      <c r="O557">
        <v>8.3108596801757813</v>
      </c>
      <c r="P557">
        <v>-81.803199768066406</v>
      </c>
      <c r="Q557">
        <v>4123</v>
      </c>
    </row>
    <row r="558" spans="1:17" x14ac:dyDescent="0.25">
      <c r="A558">
        <v>547</v>
      </c>
      <c r="B558" t="str">
        <f t="shared" si="8"/>
        <v>Hato Chamí</v>
      </c>
      <c r="C558">
        <v>12</v>
      </c>
      <c r="D558" t="s">
        <v>608</v>
      </c>
      <c r="E558">
        <v>8.6566200256347656</v>
      </c>
      <c r="F558">
        <v>-81.76629638671875</v>
      </c>
      <c r="G558">
        <v>156747</v>
      </c>
      <c r="H558">
        <v>1204</v>
      </c>
      <c r="I558" t="s">
        <v>639</v>
      </c>
      <c r="J558">
        <v>8.4115104675292969</v>
      </c>
      <c r="K558">
        <v>-81.793403625488281</v>
      </c>
      <c r="L558">
        <v>14928</v>
      </c>
      <c r="M558">
        <v>120402</v>
      </c>
      <c r="N558" t="s">
        <v>641</v>
      </c>
      <c r="O558">
        <v>8.4245500564575195</v>
      </c>
      <c r="P558">
        <v>-81.773101806640625</v>
      </c>
      <c r="Q558">
        <v>3857</v>
      </c>
    </row>
    <row r="559" spans="1:17" x14ac:dyDescent="0.25">
      <c r="A559">
        <v>548</v>
      </c>
      <c r="B559" t="str">
        <f t="shared" si="8"/>
        <v>Jädeberi</v>
      </c>
      <c r="C559">
        <v>12</v>
      </c>
      <c r="D559" t="s">
        <v>608</v>
      </c>
      <c r="E559">
        <v>8.6566200256347656</v>
      </c>
      <c r="F559">
        <v>-81.76629638671875</v>
      </c>
      <c r="G559">
        <v>156747</v>
      </c>
      <c r="H559">
        <v>1204</v>
      </c>
      <c r="I559" t="s">
        <v>639</v>
      </c>
      <c r="J559">
        <v>8.4115104675292969</v>
      </c>
      <c r="K559">
        <v>-81.793403625488281</v>
      </c>
      <c r="L559">
        <v>14928</v>
      </c>
      <c r="M559">
        <v>120403</v>
      </c>
      <c r="N559" t="s">
        <v>642</v>
      </c>
      <c r="O559">
        <v>8.4939699172973633</v>
      </c>
      <c r="P559">
        <v>-81.804801940917969</v>
      </c>
      <c r="Q559">
        <v>1476</v>
      </c>
    </row>
    <row r="560" spans="1:17" x14ac:dyDescent="0.25">
      <c r="A560">
        <v>549</v>
      </c>
      <c r="B560" t="str">
        <f t="shared" si="8"/>
        <v>Lajero</v>
      </c>
      <c r="C560">
        <v>12</v>
      </c>
      <c r="D560" t="s">
        <v>608</v>
      </c>
      <c r="E560">
        <v>8.6566200256347656</v>
      </c>
      <c r="F560">
        <v>-81.76629638671875</v>
      </c>
      <c r="G560">
        <v>156747</v>
      </c>
      <c r="H560">
        <v>1204</v>
      </c>
      <c r="I560" t="s">
        <v>639</v>
      </c>
      <c r="J560">
        <v>8.4115104675292969</v>
      </c>
      <c r="K560">
        <v>-81.793403625488281</v>
      </c>
      <c r="L560">
        <v>14928</v>
      </c>
      <c r="M560">
        <v>120404</v>
      </c>
      <c r="N560" t="s">
        <v>643</v>
      </c>
      <c r="O560">
        <v>8.2817602157592773</v>
      </c>
      <c r="P560">
        <v>-81.769699096679688</v>
      </c>
      <c r="Q560">
        <v>2674</v>
      </c>
    </row>
    <row r="561" spans="1:17" x14ac:dyDescent="0.25">
      <c r="A561">
        <v>550</v>
      </c>
      <c r="B561" t="str">
        <f t="shared" si="8"/>
        <v>Susama</v>
      </c>
      <c r="C561">
        <v>12</v>
      </c>
      <c r="D561" t="s">
        <v>608</v>
      </c>
      <c r="E561">
        <v>8.6566200256347656</v>
      </c>
      <c r="F561">
        <v>-81.76629638671875</v>
      </c>
      <c r="G561">
        <v>156747</v>
      </c>
      <c r="H561">
        <v>1204</v>
      </c>
      <c r="I561" t="s">
        <v>639</v>
      </c>
      <c r="J561">
        <v>8.4115104675292969</v>
      </c>
      <c r="K561">
        <v>-81.793403625488281</v>
      </c>
      <c r="L561">
        <v>14928</v>
      </c>
      <c r="M561">
        <v>120405</v>
      </c>
      <c r="N561" t="s">
        <v>644</v>
      </c>
      <c r="O561">
        <v>8.3604602813720703</v>
      </c>
      <c r="P561">
        <v>-81.802299499511719</v>
      </c>
      <c r="Q561">
        <v>2798</v>
      </c>
    </row>
    <row r="562" spans="1:17" x14ac:dyDescent="0.25">
      <c r="A562">
        <v>551</v>
      </c>
      <c r="B562" t="str">
        <f t="shared" si="8"/>
        <v>Buenos Aires (Cabecera)</v>
      </c>
      <c r="C562">
        <v>12</v>
      </c>
      <c r="D562" t="s">
        <v>608</v>
      </c>
      <c r="E562">
        <v>8.6566200256347656</v>
      </c>
      <c r="F562">
        <v>-81.76629638671875</v>
      </c>
      <c r="G562">
        <v>156747</v>
      </c>
      <c r="H562">
        <v>1205</v>
      </c>
      <c r="I562" t="s">
        <v>645</v>
      </c>
      <c r="J562">
        <v>8.4499101638793945</v>
      </c>
      <c r="K562">
        <v>-81.395896911621094</v>
      </c>
      <c r="L562">
        <v>13172</v>
      </c>
      <c r="M562">
        <v>120501</v>
      </c>
      <c r="N562" t="s">
        <v>646</v>
      </c>
      <c r="O562">
        <v>8.4523601531982422</v>
      </c>
      <c r="P562">
        <v>-81.486000061035156</v>
      </c>
      <c r="Q562">
        <v>1856</v>
      </c>
    </row>
    <row r="563" spans="1:17" x14ac:dyDescent="0.25">
      <c r="A563">
        <v>552</v>
      </c>
      <c r="B563" t="str">
        <f t="shared" si="8"/>
        <v>Agua de Salud</v>
      </c>
      <c r="C563">
        <v>12</v>
      </c>
      <c r="D563" t="s">
        <v>608</v>
      </c>
      <c r="E563">
        <v>8.6566200256347656</v>
      </c>
      <c r="F563">
        <v>-81.76629638671875</v>
      </c>
      <c r="G563">
        <v>156747</v>
      </c>
      <c r="H563">
        <v>1205</v>
      </c>
      <c r="I563" t="s">
        <v>645</v>
      </c>
      <c r="J563">
        <v>8.4499101638793945</v>
      </c>
      <c r="K563">
        <v>-81.395896911621094</v>
      </c>
      <c r="L563">
        <v>13172</v>
      </c>
      <c r="M563">
        <v>120502</v>
      </c>
      <c r="N563" t="s">
        <v>647</v>
      </c>
      <c r="O563">
        <v>8.5152101516723633</v>
      </c>
      <c r="P563">
        <v>-81.433799743652344</v>
      </c>
      <c r="Q563">
        <v>3049</v>
      </c>
    </row>
    <row r="564" spans="1:17" x14ac:dyDescent="0.25">
      <c r="A564">
        <v>553</v>
      </c>
      <c r="B564" t="str">
        <f t="shared" si="8"/>
        <v>Alto de Jesús</v>
      </c>
      <c r="C564">
        <v>12</v>
      </c>
      <c r="D564" t="s">
        <v>608</v>
      </c>
      <c r="E564">
        <v>8.6566200256347656</v>
      </c>
      <c r="F564">
        <v>-81.76629638671875</v>
      </c>
      <c r="G564">
        <v>156747</v>
      </c>
      <c r="H564">
        <v>1205</v>
      </c>
      <c r="I564" t="s">
        <v>645</v>
      </c>
      <c r="J564">
        <v>8.4499101638793945</v>
      </c>
      <c r="K564">
        <v>-81.395896911621094</v>
      </c>
      <c r="L564">
        <v>13172</v>
      </c>
      <c r="M564">
        <v>120503</v>
      </c>
      <c r="N564" t="s">
        <v>648</v>
      </c>
      <c r="O564">
        <v>8.2639799118041992</v>
      </c>
      <c r="P564">
        <v>-81.473602294921875</v>
      </c>
      <c r="Q564">
        <v>686</v>
      </c>
    </row>
    <row r="565" spans="1:17" x14ac:dyDescent="0.25">
      <c r="A565">
        <v>554</v>
      </c>
      <c r="B565" t="str">
        <f t="shared" si="8"/>
        <v>Cerro Pelado</v>
      </c>
      <c r="C565">
        <v>12</v>
      </c>
      <c r="D565" t="s">
        <v>608</v>
      </c>
      <c r="E565">
        <v>8.6566200256347656</v>
      </c>
      <c r="F565">
        <v>-81.76629638671875</v>
      </c>
      <c r="G565">
        <v>156747</v>
      </c>
      <c r="H565">
        <v>1205</v>
      </c>
      <c r="I565" t="s">
        <v>645</v>
      </c>
      <c r="J565">
        <v>8.4499101638793945</v>
      </c>
      <c r="K565">
        <v>-81.395896911621094</v>
      </c>
      <c r="L565">
        <v>13172</v>
      </c>
      <c r="M565">
        <v>120504</v>
      </c>
      <c r="N565" t="s">
        <v>649</v>
      </c>
      <c r="O565">
        <v>8.1643104553222656</v>
      </c>
      <c r="P565">
        <v>-81.536102294921875</v>
      </c>
      <c r="Q565">
        <v>2361</v>
      </c>
    </row>
    <row r="566" spans="1:17" x14ac:dyDescent="0.25">
      <c r="A566">
        <v>555</v>
      </c>
      <c r="B566" t="str">
        <f t="shared" si="8"/>
        <v>El Bale</v>
      </c>
      <c r="C566">
        <v>12</v>
      </c>
      <c r="D566" t="s">
        <v>608</v>
      </c>
      <c r="E566">
        <v>8.6566200256347656</v>
      </c>
      <c r="F566">
        <v>-81.76629638671875</v>
      </c>
      <c r="G566">
        <v>156747</v>
      </c>
      <c r="H566">
        <v>1205</v>
      </c>
      <c r="I566" t="s">
        <v>645</v>
      </c>
      <c r="J566">
        <v>8.4499101638793945</v>
      </c>
      <c r="K566">
        <v>-81.395896911621094</v>
      </c>
      <c r="L566">
        <v>13172</v>
      </c>
      <c r="M566">
        <v>120505</v>
      </c>
      <c r="N566" t="s">
        <v>650</v>
      </c>
      <c r="O566">
        <v>8.3455801010131836</v>
      </c>
      <c r="P566">
        <v>-81.377700805664063</v>
      </c>
      <c r="Q566">
        <v>813</v>
      </c>
    </row>
    <row r="567" spans="1:17" x14ac:dyDescent="0.25">
      <c r="A567">
        <v>556</v>
      </c>
      <c r="B567" t="str">
        <f t="shared" si="8"/>
        <v>El Paredón</v>
      </c>
      <c r="C567">
        <v>12</v>
      </c>
      <c r="D567" t="s">
        <v>608</v>
      </c>
      <c r="E567">
        <v>8.6566200256347656</v>
      </c>
      <c r="F567">
        <v>-81.76629638671875</v>
      </c>
      <c r="G567">
        <v>156747</v>
      </c>
      <c r="H567">
        <v>1205</v>
      </c>
      <c r="I567" t="s">
        <v>645</v>
      </c>
      <c r="J567">
        <v>8.4499101638793945</v>
      </c>
      <c r="K567">
        <v>-81.395896911621094</v>
      </c>
      <c r="L567">
        <v>13172</v>
      </c>
      <c r="M567">
        <v>120506</v>
      </c>
      <c r="N567" t="s">
        <v>651</v>
      </c>
      <c r="O567">
        <v>8.4879398345947266</v>
      </c>
      <c r="P567">
        <v>-81.231597900390625</v>
      </c>
      <c r="Q567">
        <v>1060</v>
      </c>
    </row>
    <row r="568" spans="1:17" x14ac:dyDescent="0.25">
      <c r="A568">
        <v>557</v>
      </c>
      <c r="B568" t="str">
        <f t="shared" si="8"/>
        <v>El Piro</v>
      </c>
      <c r="C568">
        <v>12</v>
      </c>
      <c r="D568" t="s">
        <v>608</v>
      </c>
      <c r="E568">
        <v>8.6566200256347656</v>
      </c>
      <c r="F568">
        <v>-81.76629638671875</v>
      </c>
      <c r="G568">
        <v>156747</v>
      </c>
      <c r="H568">
        <v>1205</v>
      </c>
      <c r="I568" t="s">
        <v>645</v>
      </c>
      <c r="J568">
        <v>8.4499101638793945</v>
      </c>
      <c r="K568">
        <v>-81.395896911621094</v>
      </c>
      <c r="L568">
        <v>13172</v>
      </c>
      <c r="M568">
        <v>120507</v>
      </c>
      <c r="N568" t="s">
        <v>652</v>
      </c>
      <c r="O568">
        <v>8.2315397262573242</v>
      </c>
      <c r="P568">
        <v>-81.52239990234375</v>
      </c>
      <c r="Q568">
        <v>586</v>
      </c>
    </row>
    <row r="569" spans="1:17" x14ac:dyDescent="0.25">
      <c r="A569">
        <v>558</v>
      </c>
      <c r="B569" t="str">
        <f t="shared" si="8"/>
        <v>Guayabito</v>
      </c>
      <c r="C569">
        <v>12</v>
      </c>
      <c r="D569" t="s">
        <v>608</v>
      </c>
      <c r="E569">
        <v>8.6566200256347656</v>
      </c>
      <c r="F569">
        <v>-81.76629638671875</v>
      </c>
      <c r="G569">
        <v>156747</v>
      </c>
      <c r="H569">
        <v>1205</v>
      </c>
      <c r="I569" t="s">
        <v>645</v>
      </c>
      <c r="J569">
        <v>8.4499101638793945</v>
      </c>
      <c r="K569">
        <v>-81.395896911621094</v>
      </c>
      <c r="L569">
        <v>13172</v>
      </c>
      <c r="M569">
        <v>120508</v>
      </c>
      <c r="N569" t="s">
        <v>653</v>
      </c>
      <c r="O569">
        <v>8.5472602844238281</v>
      </c>
      <c r="P569">
        <v>-81.478897094726563</v>
      </c>
      <c r="Q569">
        <v>1663</v>
      </c>
    </row>
    <row r="570" spans="1:17" x14ac:dyDescent="0.25">
      <c r="A570">
        <v>559</v>
      </c>
      <c r="B570" t="str">
        <f t="shared" si="8"/>
        <v>Güibale</v>
      </c>
      <c r="C570">
        <v>12</v>
      </c>
      <c r="D570" t="s">
        <v>608</v>
      </c>
      <c r="E570">
        <v>8.6566200256347656</v>
      </c>
      <c r="F570">
        <v>-81.76629638671875</v>
      </c>
      <c r="G570">
        <v>156747</v>
      </c>
      <c r="H570">
        <v>1205</v>
      </c>
      <c r="I570" t="s">
        <v>645</v>
      </c>
      <c r="J570">
        <v>8.4499101638793945</v>
      </c>
      <c r="K570">
        <v>-81.395896911621094</v>
      </c>
      <c r="L570">
        <v>13172</v>
      </c>
      <c r="M570">
        <v>120509</v>
      </c>
      <c r="N570" t="s">
        <v>654</v>
      </c>
      <c r="O570">
        <v>8.5121097564697266</v>
      </c>
      <c r="P570">
        <v>-81.3572998046875</v>
      </c>
      <c r="Q570">
        <v>1098</v>
      </c>
    </row>
    <row r="571" spans="1:17" x14ac:dyDescent="0.25">
      <c r="A571">
        <v>560</v>
      </c>
      <c r="B571" t="str">
        <f t="shared" si="8"/>
        <v>Bisira (Cabecera)</v>
      </c>
      <c r="C571">
        <v>12</v>
      </c>
      <c r="D571" t="s">
        <v>608</v>
      </c>
      <c r="E571">
        <v>8.6566200256347656</v>
      </c>
      <c r="F571">
        <v>-81.76629638671875</v>
      </c>
      <c r="G571">
        <v>156747</v>
      </c>
      <c r="H571">
        <v>1206</v>
      </c>
      <c r="I571" t="s">
        <v>655</v>
      </c>
      <c r="J571">
        <v>8.7318201065063477</v>
      </c>
      <c r="K571">
        <v>-81.792198181152344</v>
      </c>
      <c r="L571">
        <v>33121</v>
      </c>
      <c r="M571">
        <v>120601</v>
      </c>
      <c r="N571" t="s">
        <v>656</v>
      </c>
      <c r="O571">
        <v>8.9176397323608398</v>
      </c>
      <c r="P571">
        <v>-81.845596313476563</v>
      </c>
      <c r="Q571">
        <v>3200</v>
      </c>
    </row>
    <row r="572" spans="1:17" x14ac:dyDescent="0.25">
      <c r="A572">
        <v>561</v>
      </c>
      <c r="B572" t="str">
        <f t="shared" si="8"/>
        <v>Gworoni</v>
      </c>
      <c r="C572">
        <v>12</v>
      </c>
      <c r="D572" t="s">
        <v>608</v>
      </c>
      <c r="E572">
        <v>8.6566200256347656</v>
      </c>
      <c r="F572">
        <v>-81.76629638671875</v>
      </c>
      <c r="G572">
        <v>156747</v>
      </c>
      <c r="H572">
        <v>1206</v>
      </c>
      <c r="I572" t="s">
        <v>655</v>
      </c>
      <c r="J572">
        <v>8.7318201065063477</v>
      </c>
      <c r="K572">
        <v>-81.792198181152344</v>
      </c>
      <c r="L572">
        <v>33121</v>
      </c>
      <c r="M572">
        <v>120604</v>
      </c>
      <c r="N572" t="s">
        <v>657</v>
      </c>
      <c r="O572">
        <v>8.6907100677490234</v>
      </c>
      <c r="P572">
        <v>-81.742500305175781</v>
      </c>
      <c r="Q572">
        <v>2647</v>
      </c>
    </row>
    <row r="573" spans="1:17" x14ac:dyDescent="0.25">
      <c r="A573">
        <v>562</v>
      </c>
      <c r="B573" t="str">
        <f t="shared" si="8"/>
        <v>Kankintú</v>
      </c>
      <c r="C573">
        <v>12</v>
      </c>
      <c r="D573" t="s">
        <v>608</v>
      </c>
      <c r="E573">
        <v>8.6566200256347656</v>
      </c>
      <c r="F573">
        <v>-81.76629638671875</v>
      </c>
      <c r="G573">
        <v>156747</v>
      </c>
      <c r="H573">
        <v>1206</v>
      </c>
      <c r="I573" t="s">
        <v>655</v>
      </c>
      <c r="J573">
        <v>8.7318201065063477</v>
      </c>
      <c r="K573">
        <v>-81.792198181152344</v>
      </c>
      <c r="L573">
        <v>33121</v>
      </c>
      <c r="M573">
        <v>120605</v>
      </c>
      <c r="N573" t="s">
        <v>655</v>
      </c>
      <c r="O573">
        <v>8.8327102661132813</v>
      </c>
      <c r="P573">
        <v>-81.827598571777344</v>
      </c>
      <c r="Q573">
        <v>5009</v>
      </c>
    </row>
    <row r="574" spans="1:17" x14ac:dyDescent="0.25">
      <c r="A574">
        <v>563</v>
      </c>
      <c r="B574" t="str">
        <f t="shared" si="8"/>
        <v>Mününi</v>
      </c>
      <c r="C574">
        <v>12</v>
      </c>
      <c r="D574" t="s">
        <v>608</v>
      </c>
      <c r="E574">
        <v>8.6566200256347656</v>
      </c>
      <c r="F574">
        <v>-81.76629638671875</v>
      </c>
      <c r="G574">
        <v>156747</v>
      </c>
      <c r="H574">
        <v>1206</v>
      </c>
      <c r="I574" t="s">
        <v>655</v>
      </c>
      <c r="J574">
        <v>8.7318201065063477</v>
      </c>
      <c r="K574">
        <v>-81.792198181152344</v>
      </c>
      <c r="L574">
        <v>33121</v>
      </c>
      <c r="M574">
        <v>120606</v>
      </c>
      <c r="N574" t="s">
        <v>658</v>
      </c>
      <c r="O574">
        <v>8.5613698959350586</v>
      </c>
      <c r="P574">
        <v>-81.724700927734375</v>
      </c>
      <c r="Q574">
        <v>2742</v>
      </c>
    </row>
    <row r="575" spans="1:17" x14ac:dyDescent="0.25">
      <c r="A575">
        <v>564</v>
      </c>
      <c r="B575" t="str">
        <f t="shared" si="8"/>
        <v>Piedra Roja</v>
      </c>
      <c r="C575">
        <v>12</v>
      </c>
      <c r="D575" t="s">
        <v>608</v>
      </c>
      <c r="E575">
        <v>8.6566200256347656</v>
      </c>
      <c r="F575">
        <v>-81.76629638671875</v>
      </c>
      <c r="G575">
        <v>156747</v>
      </c>
      <c r="H575">
        <v>1206</v>
      </c>
      <c r="I575" t="s">
        <v>655</v>
      </c>
      <c r="J575">
        <v>8.7318201065063477</v>
      </c>
      <c r="K575">
        <v>-81.792198181152344</v>
      </c>
      <c r="L575">
        <v>33121</v>
      </c>
      <c r="M575">
        <v>120607</v>
      </c>
      <c r="N575" t="s">
        <v>659</v>
      </c>
      <c r="O575">
        <v>8.5945301055908203</v>
      </c>
      <c r="P575">
        <v>-81.778800964355469</v>
      </c>
      <c r="Q575">
        <v>3035</v>
      </c>
    </row>
    <row r="576" spans="1:17" x14ac:dyDescent="0.25">
      <c r="A576">
        <v>565</v>
      </c>
      <c r="B576" t="str">
        <f t="shared" si="8"/>
        <v>Kusapín</v>
      </c>
      <c r="C576">
        <v>12</v>
      </c>
      <c r="D576" t="s">
        <v>608</v>
      </c>
      <c r="E576">
        <v>8.6566200256347656</v>
      </c>
      <c r="F576">
        <v>-81.76629638671875</v>
      </c>
      <c r="G576">
        <v>156747</v>
      </c>
      <c r="H576">
        <v>1207</v>
      </c>
      <c r="I576" t="s">
        <v>660</v>
      </c>
      <c r="J576">
        <v>8.8474102020263672</v>
      </c>
      <c r="K576">
        <v>-81.676597595214844</v>
      </c>
      <c r="L576">
        <v>20909</v>
      </c>
      <c r="M576">
        <v>120701</v>
      </c>
      <c r="N576" t="s">
        <v>660</v>
      </c>
      <c r="O576">
        <v>9.1592397689819336</v>
      </c>
      <c r="P576">
        <v>-81.878898620605469</v>
      </c>
      <c r="Q576">
        <v>3080</v>
      </c>
    </row>
    <row r="577" spans="1:17" x14ac:dyDescent="0.25">
      <c r="A577">
        <v>566</v>
      </c>
      <c r="B577" t="str">
        <f t="shared" si="8"/>
        <v>Bahía Azul</v>
      </c>
      <c r="C577">
        <v>12</v>
      </c>
      <c r="D577" t="s">
        <v>608</v>
      </c>
      <c r="E577">
        <v>8.6566200256347656</v>
      </c>
      <c r="F577">
        <v>-81.76629638671875</v>
      </c>
      <c r="G577">
        <v>156747</v>
      </c>
      <c r="H577">
        <v>1207</v>
      </c>
      <c r="I577" t="s">
        <v>660</v>
      </c>
      <c r="J577">
        <v>8.8474102020263672</v>
      </c>
      <c r="K577">
        <v>-81.676597595214844</v>
      </c>
      <c r="L577">
        <v>20909</v>
      </c>
      <c r="M577">
        <v>120702</v>
      </c>
      <c r="N577" t="s">
        <v>661</v>
      </c>
      <c r="O577">
        <v>9.0704402923583984</v>
      </c>
      <c r="P577">
        <v>-81.842697143554688</v>
      </c>
      <c r="Q577">
        <v>3621</v>
      </c>
    </row>
    <row r="578" spans="1:17" x14ac:dyDescent="0.25">
      <c r="A578">
        <v>567</v>
      </c>
      <c r="B578" t="str">
        <f t="shared" si="8"/>
        <v>Río Chiriquí</v>
      </c>
      <c r="C578">
        <v>12</v>
      </c>
      <c r="D578" t="s">
        <v>608</v>
      </c>
      <c r="E578">
        <v>8.6566200256347656</v>
      </c>
      <c r="F578">
        <v>-81.76629638671875</v>
      </c>
      <c r="G578">
        <v>156747</v>
      </c>
      <c r="H578">
        <v>1207</v>
      </c>
      <c r="I578" t="s">
        <v>660</v>
      </c>
      <c r="J578">
        <v>8.8474102020263672</v>
      </c>
      <c r="K578">
        <v>-81.676597595214844</v>
      </c>
      <c r="L578">
        <v>20909</v>
      </c>
      <c r="M578">
        <v>120705</v>
      </c>
      <c r="N578" t="s">
        <v>662</v>
      </c>
      <c r="O578">
        <v>8.7722702026367188</v>
      </c>
      <c r="P578">
        <v>-81.614898681640625</v>
      </c>
      <c r="Q578">
        <v>3658</v>
      </c>
    </row>
    <row r="579" spans="1:17" x14ac:dyDescent="0.25">
      <c r="A579">
        <v>568</v>
      </c>
      <c r="B579" t="str">
        <f t="shared" si="8"/>
        <v>Tobobe</v>
      </c>
      <c r="C579">
        <v>12</v>
      </c>
      <c r="D579" t="s">
        <v>608</v>
      </c>
      <c r="E579">
        <v>8.6566200256347656</v>
      </c>
      <c r="F579">
        <v>-81.76629638671875</v>
      </c>
      <c r="G579">
        <v>156747</v>
      </c>
      <c r="H579">
        <v>1207</v>
      </c>
      <c r="I579" t="s">
        <v>660</v>
      </c>
      <c r="J579">
        <v>8.8474102020263672</v>
      </c>
      <c r="K579">
        <v>-81.676597595214844</v>
      </c>
      <c r="L579">
        <v>20909</v>
      </c>
      <c r="M579">
        <v>120706</v>
      </c>
      <c r="N579" t="s">
        <v>663</v>
      </c>
      <c r="O579">
        <v>9.0221700668334961</v>
      </c>
      <c r="P579">
        <v>-81.77130126953125</v>
      </c>
      <c r="Q579">
        <v>5056</v>
      </c>
    </row>
    <row r="580" spans="1:17" x14ac:dyDescent="0.25">
      <c r="A580">
        <v>569</v>
      </c>
      <c r="B580" t="str">
        <f t="shared" si="8"/>
        <v>Barriada 4 de Abril</v>
      </c>
      <c r="C580">
        <v>1</v>
      </c>
      <c r="D580" t="s">
        <v>92</v>
      </c>
      <c r="E580">
        <v>9.2170095443725586</v>
      </c>
      <c r="F580">
        <v>-82.584602355957031</v>
      </c>
      <c r="G580">
        <v>125461</v>
      </c>
      <c r="H580">
        <v>102</v>
      </c>
      <c r="I580" t="s">
        <v>100</v>
      </c>
      <c r="J580">
        <v>9.3393001556396484</v>
      </c>
      <c r="K580">
        <v>-82.460800170898438</v>
      </c>
      <c r="L580">
        <v>98310</v>
      </c>
      <c r="M580">
        <v>10213</v>
      </c>
      <c r="N580" t="s">
        <v>664</v>
      </c>
      <c r="O580">
        <v>9.4672098159790039</v>
      </c>
      <c r="P580">
        <v>-82.539100646972656</v>
      </c>
      <c r="Q580">
        <v>0</v>
      </c>
    </row>
    <row r="581" spans="1:17" x14ac:dyDescent="0.25">
      <c r="A581">
        <v>570</v>
      </c>
      <c r="B581" t="str">
        <f t="shared" si="8"/>
        <v>El Silencio</v>
      </c>
      <c r="C581">
        <v>1</v>
      </c>
      <c r="D581" t="s">
        <v>92</v>
      </c>
      <c r="E581">
        <v>9.2170095443725586</v>
      </c>
      <c r="F581">
        <v>-82.584602355957031</v>
      </c>
      <c r="G581">
        <v>125461</v>
      </c>
      <c r="H581">
        <v>102</v>
      </c>
      <c r="I581" t="s">
        <v>100</v>
      </c>
      <c r="J581">
        <v>9.3393001556396484</v>
      </c>
      <c r="K581">
        <v>-82.460800170898438</v>
      </c>
      <c r="L581">
        <v>98310</v>
      </c>
      <c r="M581">
        <v>10214</v>
      </c>
      <c r="N581" t="s">
        <v>665</v>
      </c>
      <c r="O581">
        <v>9.3951797485351563</v>
      </c>
      <c r="P581">
        <v>-82.579299926757813</v>
      </c>
      <c r="Q581">
        <v>0</v>
      </c>
    </row>
    <row r="582" spans="1:17" x14ac:dyDescent="0.25">
      <c r="A582">
        <v>571</v>
      </c>
      <c r="B582" t="str">
        <f t="shared" si="8"/>
        <v>Finca 6</v>
      </c>
      <c r="C582">
        <v>1</v>
      </c>
      <c r="D582" t="s">
        <v>92</v>
      </c>
      <c r="E582">
        <v>9.2170095443725586</v>
      </c>
      <c r="F582">
        <v>-82.584602355957031</v>
      </c>
      <c r="G582">
        <v>125461</v>
      </c>
      <c r="H582">
        <v>102</v>
      </c>
      <c r="I582" t="s">
        <v>100</v>
      </c>
      <c r="J582">
        <v>9.3393001556396484</v>
      </c>
      <c r="K582">
        <v>-82.460800170898438</v>
      </c>
      <c r="L582">
        <v>98310</v>
      </c>
      <c r="M582">
        <v>10215</v>
      </c>
      <c r="N582" t="s">
        <v>666</v>
      </c>
      <c r="O582">
        <v>9.4874801635742188</v>
      </c>
      <c r="P582">
        <v>-82.498397827148438</v>
      </c>
      <c r="Q582">
        <v>0</v>
      </c>
    </row>
    <row r="583" spans="1:17" x14ac:dyDescent="0.25">
      <c r="A583">
        <v>572</v>
      </c>
      <c r="B583" t="str">
        <f t="shared" si="8"/>
        <v>Finca 30</v>
      </c>
      <c r="C583">
        <v>1</v>
      </c>
      <c r="D583" t="s">
        <v>92</v>
      </c>
      <c r="E583">
        <v>9.2170095443725586</v>
      </c>
      <c r="F583">
        <v>-82.584602355957031</v>
      </c>
      <c r="G583">
        <v>125461</v>
      </c>
      <c r="H583">
        <v>102</v>
      </c>
      <c r="I583" t="s">
        <v>100</v>
      </c>
      <c r="J583">
        <v>9.3393001556396484</v>
      </c>
      <c r="K583">
        <v>-82.460800170898438</v>
      </c>
      <c r="L583">
        <v>98310</v>
      </c>
      <c r="M583">
        <v>10216</v>
      </c>
      <c r="N583" t="s">
        <v>667</v>
      </c>
      <c r="O583">
        <v>9.4315700531005859</v>
      </c>
      <c r="P583">
        <v>-82.557998657226563</v>
      </c>
      <c r="Q583">
        <v>0</v>
      </c>
    </row>
    <row r="584" spans="1:17" x14ac:dyDescent="0.25">
      <c r="A584">
        <v>573</v>
      </c>
      <c r="B584" t="str">
        <f t="shared" si="8"/>
        <v>Finca 60</v>
      </c>
      <c r="C584">
        <v>1</v>
      </c>
      <c r="D584" t="s">
        <v>92</v>
      </c>
      <c r="E584">
        <v>9.2170095443725586</v>
      </c>
      <c r="F584">
        <v>-82.584602355957031</v>
      </c>
      <c r="G584">
        <v>125461</v>
      </c>
      <c r="H584">
        <v>102</v>
      </c>
      <c r="I584" t="s">
        <v>100</v>
      </c>
      <c r="J584">
        <v>9.3393001556396484</v>
      </c>
      <c r="K584">
        <v>-82.460800170898438</v>
      </c>
      <c r="L584">
        <v>98310</v>
      </c>
      <c r="M584">
        <v>10217</v>
      </c>
      <c r="N584" t="s">
        <v>668</v>
      </c>
      <c r="O584">
        <v>9.4488401412963867</v>
      </c>
      <c r="P584">
        <v>-82.480003356933594</v>
      </c>
      <c r="Q584">
        <v>0</v>
      </c>
    </row>
    <row r="585" spans="1:17" x14ac:dyDescent="0.25">
      <c r="A585">
        <v>574</v>
      </c>
      <c r="B585" t="str">
        <f t="shared" si="8"/>
        <v>Almirante (Cabecera)</v>
      </c>
      <c r="C585">
        <v>1</v>
      </c>
      <c r="D585" t="s">
        <v>92</v>
      </c>
      <c r="E585">
        <v>9.2170095443725586</v>
      </c>
      <c r="F585">
        <v>-82.584602355957031</v>
      </c>
      <c r="G585">
        <v>125461</v>
      </c>
      <c r="H585">
        <v>104</v>
      </c>
      <c r="I585" t="s">
        <v>98</v>
      </c>
      <c r="J585">
        <v>9.0665998458862305</v>
      </c>
      <c r="K585">
        <v>-82.55999755859375</v>
      </c>
      <c r="L585">
        <v>0</v>
      </c>
      <c r="M585">
        <v>10401</v>
      </c>
      <c r="N585" t="s">
        <v>669</v>
      </c>
      <c r="O585">
        <v>9.3201103210449219</v>
      </c>
      <c r="P585">
        <v>-82.398902893066406</v>
      </c>
      <c r="Q585">
        <v>0</v>
      </c>
    </row>
    <row r="586" spans="1:17" x14ac:dyDescent="0.25">
      <c r="A586">
        <v>575</v>
      </c>
      <c r="B586" t="str">
        <f t="shared" si="8"/>
        <v>Barrio Francés</v>
      </c>
      <c r="C586">
        <v>1</v>
      </c>
      <c r="D586" t="s">
        <v>92</v>
      </c>
      <c r="E586">
        <v>9.2170095443725586</v>
      </c>
      <c r="F586">
        <v>-82.584602355957031</v>
      </c>
      <c r="G586">
        <v>125461</v>
      </c>
      <c r="H586">
        <v>104</v>
      </c>
      <c r="I586" t="s">
        <v>98</v>
      </c>
      <c r="J586">
        <v>9.0665998458862305</v>
      </c>
      <c r="K586">
        <v>-82.55999755859375</v>
      </c>
      <c r="L586">
        <v>0</v>
      </c>
      <c r="M586">
        <v>10402</v>
      </c>
      <c r="N586" t="s">
        <v>670</v>
      </c>
      <c r="O586">
        <v>9.3008804321289063</v>
      </c>
      <c r="P586">
        <v>-82.371101379394531</v>
      </c>
      <c r="Q586">
        <v>0</v>
      </c>
    </row>
    <row r="587" spans="1:17" x14ac:dyDescent="0.25">
      <c r="A587">
        <v>576</v>
      </c>
      <c r="B587" t="str">
        <f t="shared" si="8"/>
        <v>Nance de Riscó</v>
      </c>
      <c r="C587">
        <v>1</v>
      </c>
      <c r="D587" t="s">
        <v>92</v>
      </c>
      <c r="E587">
        <v>9.2170095443725586</v>
      </c>
      <c r="F587">
        <v>-82.584602355957031</v>
      </c>
      <c r="G587">
        <v>125461</v>
      </c>
      <c r="H587">
        <v>104</v>
      </c>
      <c r="I587" t="s">
        <v>98</v>
      </c>
      <c r="J587">
        <v>9.0665998458862305</v>
      </c>
      <c r="K587">
        <v>-82.55999755859375</v>
      </c>
      <c r="L587">
        <v>0</v>
      </c>
      <c r="M587">
        <v>10404</v>
      </c>
      <c r="N587" t="s">
        <v>671</v>
      </c>
      <c r="O587">
        <v>9.0658102035522461</v>
      </c>
      <c r="P587">
        <v>-82.649398803710938</v>
      </c>
      <c r="Q587">
        <v>0</v>
      </c>
    </row>
    <row r="588" spans="1:17" x14ac:dyDescent="0.25">
      <c r="A588">
        <v>577</v>
      </c>
      <c r="B588" t="str">
        <f t="shared" ref="B588:B651" si="9">+N588</f>
        <v>Valle de Aguas Arriba</v>
      </c>
      <c r="C588">
        <v>1</v>
      </c>
      <c r="D588" t="s">
        <v>92</v>
      </c>
      <c r="E588">
        <v>9.2170095443725586</v>
      </c>
      <c r="F588">
        <v>-82.584602355957031</v>
      </c>
      <c r="G588">
        <v>125461</v>
      </c>
      <c r="H588">
        <v>104</v>
      </c>
      <c r="I588" t="s">
        <v>98</v>
      </c>
      <c r="J588">
        <v>9.0665998458862305</v>
      </c>
      <c r="K588">
        <v>-82.55999755859375</v>
      </c>
      <c r="L588">
        <v>0</v>
      </c>
      <c r="M588">
        <v>10405</v>
      </c>
      <c r="N588" t="s">
        <v>672</v>
      </c>
      <c r="O588">
        <v>9.2189998626708984</v>
      </c>
      <c r="P588">
        <v>-82.373703002929688</v>
      </c>
      <c r="Q588">
        <v>0</v>
      </c>
    </row>
    <row r="589" spans="1:17" x14ac:dyDescent="0.25">
      <c r="A589">
        <v>578</v>
      </c>
      <c r="B589" t="str">
        <f t="shared" si="9"/>
        <v>Valle de Riscó</v>
      </c>
      <c r="C589">
        <v>1</v>
      </c>
      <c r="D589" t="s">
        <v>92</v>
      </c>
      <c r="E589">
        <v>9.2170095443725586</v>
      </c>
      <c r="F589">
        <v>-82.584602355957031</v>
      </c>
      <c r="G589">
        <v>125461</v>
      </c>
      <c r="H589">
        <v>104</v>
      </c>
      <c r="I589" t="s">
        <v>98</v>
      </c>
      <c r="J589">
        <v>9.0665998458862305</v>
      </c>
      <c r="K589">
        <v>-82.55999755859375</v>
      </c>
      <c r="L589">
        <v>0</v>
      </c>
      <c r="M589">
        <v>10406</v>
      </c>
      <c r="N589" t="s">
        <v>673</v>
      </c>
      <c r="O589">
        <v>9.0141496658325195</v>
      </c>
      <c r="P589">
        <v>-82.442802429199219</v>
      </c>
      <c r="Q589">
        <v>0</v>
      </c>
    </row>
    <row r="590" spans="1:17" x14ac:dyDescent="0.25">
      <c r="A590">
        <v>579</v>
      </c>
      <c r="B590" t="str">
        <f t="shared" si="9"/>
        <v>Sin asignar</v>
      </c>
      <c r="C590">
        <v>1</v>
      </c>
      <c r="D590" t="s">
        <v>92</v>
      </c>
      <c r="E590">
        <v>9.2170095443725586</v>
      </c>
      <c r="F590">
        <v>-82.584602355957031</v>
      </c>
      <c r="G590">
        <v>125461</v>
      </c>
      <c r="H590">
        <v>104</v>
      </c>
      <c r="I590" t="s">
        <v>98</v>
      </c>
      <c r="J590">
        <v>9.0665998458862305</v>
      </c>
      <c r="K590">
        <v>-82.55999755859375</v>
      </c>
      <c r="L590">
        <v>0</v>
      </c>
      <c r="M590">
        <v>10403</v>
      </c>
      <c r="N590" t="s">
        <v>99</v>
      </c>
      <c r="O590">
        <v>9.291020393371582</v>
      </c>
      <c r="P590">
        <v>-82.401199340820313</v>
      </c>
      <c r="Q590">
        <v>0</v>
      </c>
    </row>
    <row r="591" spans="1:17" x14ac:dyDescent="0.25">
      <c r="A591">
        <v>580</v>
      </c>
      <c r="B591" t="str">
        <f t="shared" si="9"/>
        <v>Barriada Guaymí</v>
      </c>
      <c r="C591">
        <v>1</v>
      </c>
      <c r="D591" t="s">
        <v>92</v>
      </c>
      <c r="E591">
        <v>9.2170095443725586</v>
      </c>
      <c r="F591">
        <v>-82.584602355957031</v>
      </c>
      <c r="G591">
        <v>125461</v>
      </c>
      <c r="H591">
        <v>104</v>
      </c>
      <c r="I591" t="s">
        <v>98</v>
      </c>
      <c r="J591">
        <v>9.0665998458862305</v>
      </c>
      <c r="K591">
        <v>-82.55999755859375</v>
      </c>
      <c r="L591">
        <v>0</v>
      </c>
      <c r="M591">
        <v>10403</v>
      </c>
      <c r="N591" t="s">
        <v>674</v>
      </c>
      <c r="O591">
        <v>9.3032999038696289</v>
      </c>
      <c r="P591">
        <v>-82.433700561523438</v>
      </c>
      <c r="Q591">
        <v>0</v>
      </c>
    </row>
    <row r="592" spans="1:17" x14ac:dyDescent="0.25">
      <c r="A592">
        <v>581</v>
      </c>
      <c r="B592" t="str">
        <f t="shared" si="9"/>
        <v>Pueblos Unidos</v>
      </c>
      <c r="C592">
        <v>2</v>
      </c>
      <c r="D592" t="s">
        <v>116</v>
      </c>
      <c r="E592">
        <v>8.5502901077270508</v>
      </c>
      <c r="F592">
        <v>-80.429603576660156</v>
      </c>
      <c r="G592">
        <v>233708</v>
      </c>
      <c r="H592">
        <v>201</v>
      </c>
      <c r="I592" t="s">
        <v>117</v>
      </c>
      <c r="J592">
        <v>8.208470344543457</v>
      </c>
      <c r="K592">
        <v>-80.604202270507813</v>
      </c>
      <c r="L592">
        <v>43360</v>
      </c>
      <c r="M592">
        <v>20106</v>
      </c>
      <c r="N592" t="s">
        <v>675</v>
      </c>
      <c r="O592">
        <v>8.1928396224975586</v>
      </c>
      <c r="P592">
        <v>-80.687599182128906</v>
      </c>
      <c r="Q592">
        <v>0</v>
      </c>
    </row>
    <row r="593" spans="1:17" x14ac:dyDescent="0.25">
      <c r="A593">
        <v>582</v>
      </c>
      <c r="B593" t="str">
        <f t="shared" si="9"/>
        <v>Virgen del Carmen</v>
      </c>
      <c r="C593">
        <v>2</v>
      </c>
      <c r="D593" t="s">
        <v>116</v>
      </c>
      <c r="E593">
        <v>8.5502901077270508</v>
      </c>
      <c r="F593">
        <v>-80.429603576660156</v>
      </c>
      <c r="G593">
        <v>233708</v>
      </c>
      <c r="H593">
        <v>201</v>
      </c>
      <c r="I593" t="s">
        <v>117</v>
      </c>
      <c r="J593">
        <v>8.208470344543457</v>
      </c>
      <c r="K593">
        <v>-80.604202270507813</v>
      </c>
      <c r="L593">
        <v>43360</v>
      </c>
      <c r="M593">
        <v>20107</v>
      </c>
      <c r="N593" t="s">
        <v>676</v>
      </c>
      <c r="O593">
        <v>8.2567501068115234</v>
      </c>
      <c r="P593">
        <v>-80.578102111816406</v>
      </c>
      <c r="Q593">
        <v>0</v>
      </c>
    </row>
    <row r="594" spans="1:17" x14ac:dyDescent="0.25">
      <c r="A594">
        <v>583</v>
      </c>
      <c r="B594" t="str">
        <f t="shared" si="9"/>
        <v>El Hato de San Juan de Dios</v>
      </c>
      <c r="C594">
        <v>2</v>
      </c>
      <c r="D594" t="s">
        <v>116</v>
      </c>
      <c r="E594">
        <v>8.5502901077270508</v>
      </c>
      <c r="F594">
        <v>-80.429603576660156</v>
      </c>
      <c r="G594">
        <v>233708</v>
      </c>
      <c r="H594">
        <v>201</v>
      </c>
      <c r="I594" t="s">
        <v>117</v>
      </c>
      <c r="J594">
        <v>8.208470344543457</v>
      </c>
      <c r="K594">
        <v>-80.604202270507813</v>
      </c>
      <c r="L594">
        <v>43360</v>
      </c>
      <c r="M594">
        <v>20108</v>
      </c>
      <c r="N594" t="s">
        <v>677</v>
      </c>
      <c r="O594">
        <v>8.2757101058959961</v>
      </c>
      <c r="P594">
        <v>-80.678497314453125</v>
      </c>
      <c r="Q594">
        <v>0</v>
      </c>
    </row>
    <row r="595" spans="1:17" x14ac:dyDescent="0.25">
      <c r="A595">
        <v>584</v>
      </c>
      <c r="B595" t="str">
        <f t="shared" si="9"/>
        <v>Llano Norte</v>
      </c>
      <c r="C595">
        <v>2</v>
      </c>
      <c r="D595" t="s">
        <v>116</v>
      </c>
      <c r="E595">
        <v>8.5502901077270508</v>
      </c>
      <c r="F595">
        <v>-80.429603576660156</v>
      </c>
      <c r="G595">
        <v>233708</v>
      </c>
      <c r="H595">
        <v>203</v>
      </c>
      <c r="I595" t="s">
        <v>134</v>
      </c>
      <c r="J595">
        <v>8.700169563293457</v>
      </c>
      <c r="K595">
        <v>-80.53399658203125</v>
      </c>
      <c r="L595">
        <v>25639</v>
      </c>
      <c r="M595">
        <v>20307</v>
      </c>
      <c r="N595" t="s">
        <v>678</v>
      </c>
      <c r="O595">
        <v>8.8168201446533203</v>
      </c>
      <c r="P595">
        <v>-80.483802795410156</v>
      </c>
      <c r="Q595">
        <v>0</v>
      </c>
    </row>
    <row r="596" spans="1:17" x14ac:dyDescent="0.25">
      <c r="A596">
        <v>585</v>
      </c>
      <c r="B596" t="str">
        <f t="shared" si="9"/>
        <v>Villarreal</v>
      </c>
      <c r="C596">
        <v>2</v>
      </c>
      <c r="D596" t="s">
        <v>116</v>
      </c>
      <c r="E596">
        <v>8.5502901077270508</v>
      </c>
      <c r="F596">
        <v>-80.429603576660156</v>
      </c>
      <c r="G596">
        <v>233708</v>
      </c>
      <c r="H596">
        <v>204</v>
      </c>
      <c r="I596" t="s">
        <v>141</v>
      </c>
      <c r="J596">
        <v>8.3922796249389648</v>
      </c>
      <c r="K596">
        <v>-80.584602355957031</v>
      </c>
      <c r="L596">
        <v>18465</v>
      </c>
      <c r="M596">
        <v>20407</v>
      </c>
      <c r="N596" t="s">
        <v>679</v>
      </c>
      <c r="O596">
        <v>8.3235397338867188</v>
      </c>
      <c r="P596">
        <v>-80.636299133300781</v>
      </c>
      <c r="Q596">
        <v>0</v>
      </c>
    </row>
    <row r="597" spans="1:17" x14ac:dyDescent="0.25">
      <c r="A597">
        <v>586</v>
      </c>
      <c r="B597" t="str">
        <f t="shared" si="9"/>
        <v>Cristóbal Este</v>
      </c>
      <c r="C597">
        <v>3</v>
      </c>
      <c r="D597" t="s">
        <v>164</v>
      </c>
      <c r="E597">
        <v>9.18634033203125</v>
      </c>
      <c r="F597">
        <v>-80.013198852539063</v>
      </c>
      <c r="G597">
        <v>241928</v>
      </c>
      <c r="H597">
        <v>301</v>
      </c>
      <c r="I597" t="s">
        <v>164</v>
      </c>
      <c r="J597">
        <v>9.2426204681396484</v>
      </c>
      <c r="K597">
        <v>-79.813301086425781</v>
      </c>
      <c r="L597">
        <v>206553</v>
      </c>
      <c r="M597">
        <v>30115</v>
      </c>
      <c r="N597" t="s">
        <v>680</v>
      </c>
      <c r="O597">
        <v>9.3705196380615234</v>
      </c>
      <c r="P597">
        <v>-79.866302490234375</v>
      </c>
      <c r="Q597">
        <v>0</v>
      </c>
    </row>
    <row r="598" spans="1:17" x14ac:dyDescent="0.25">
      <c r="A598">
        <v>587</v>
      </c>
      <c r="B598" t="str">
        <f t="shared" si="9"/>
        <v>San José  del General (Cabecera)</v>
      </c>
      <c r="C598">
        <v>3</v>
      </c>
      <c r="D598" t="s">
        <v>164</v>
      </c>
      <c r="E598">
        <v>9.18634033203125</v>
      </c>
      <c r="F598">
        <v>-80.013198852539063</v>
      </c>
      <c r="G598">
        <v>241928</v>
      </c>
      <c r="H598">
        <v>306</v>
      </c>
      <c r="I598" t="s">
        <v>681</v>
      </c>
      <c r="J598">
        <v>8.8617897033691406</v>
      </c>
      <c r="K598">
        <v>-80.60150146484375</v>
      </c>
      <c r="L598">
        <v>0</v>
      </c>
      <c r="M598">
        <v>30601</v>
      </c>
      <c r="N598" t="s">
        <v>682</v>
      </c>
      <c r="O598">
        <v>8.8728303909301758</v>
      </c>
      <c r="P598">
        <v>-80.566902160644531</v>
      </c>
      <c r="Q598">
        <v>0</v>
      </c>
    </row>
    <row r="599" spans="1:17" x14ac:dyDescent="0.25">
      <c r="A599">
        <v>588</v>
      </c>
      <c r="B599" t="str">
        <f t="shared" si="9"/>
        <v>Nueva Esperanza</v>
      </c>
      <c r="C599">
        <v>3</v>
      </c>
      <c r="D599" t="s">
        <v>164</v>
      </c>
      <c r="E599">
        <v>9.18634033203125</v>
      </c>
      <c r="F599">
        <v>-80.013198852539063</v>
      </c>
      <c r="G599">
        <v>241928</v>
      </c>
      <c r="H599">
        <v>306</v>
      </c>
      <c r="I599" t="s">
        <v>681</v>
      </c>
      <c r="J599">
        <v>8.8617897033691406</v>
      </c>
      <c r="K599">
        <v>-80.60150146484375</v>
      </c>
      <c r="L599">
        <v>0</v>
      </c>
      <c r="M599">
        <v>30602</v>
      </c>
      <c r="N599" t="s">
        <v>683</v>
      </c>
      <c r="O599">
        <v>8.8894195556640625</v>
      </c>
      <c r="P599">
        <v>-80.611396789550781</v>
      </c>
      <c r="Q599">
        <v>0</v>
      </c>
    </row>
    <row r="600" spans="1:17" x14ac:dyDescent="0.25">
      <c r="A600">
        <v>589</v>
      </c>
      <c r="B600" t="str">
        <f t="shared" si="9"/>
        <v>San Juan de Turbe</v>
      </c>
      <c r="C600">
        <v>3</v>
      </c>
      <c r="D600" t="s">
        <v>164</v>
      </c>
      <c r="E600">
        <v>9.18634033203125</v>
      </c>
      <c r="F600">
        <v>-80.013198852539063</v>
      </c>
      <c r="G600">
        <v>241928</v>
      </c>
      <c r="H600">
        <v>306</v>
      </c>
      <c r="I600" t="s">
        <v>681</v>
      </c>
      <c r="J600">
        <v>8.8617897033691406</v>
      </c>
      <c r="K600">
        <v>-80.60150146484375</v>
      </c>
      <c r="L600">
        <v>0</v>
      </c>
      <c r="M600">
        <v>30603</v>
      </c>
      <c r="N600" t="s">
        <v>684</v>
      </c>
      <c r="O600">
        <v>8.8091802597045898</v>
      </c>
      <c r="P600">
        <v>-80.626602172851563</v>
      </c>
      <c r="Q600">
        <v>0</v>
      </c>
    </row>
    <row r="601" spans="1:17" x14ac:dyDescent="0.25">
      <c r="A601">
        <v>590</v>
      </c>
      <c r="B601" t="str">
        <f t="shared" si="9"/>
        <v>Solano</v>
      </c>
      <c r="C601">
        <v>4</v>
      </c>
      <c r="D601" t="s">
        <v>205</v>
      </c>
      <c r="E601">
        <v>8.4871597290039063</v>
      </c>
      <c r="F601">
        <v>-82.403701782226563</v>
      </c>
      <c r="G601">
        <v>416873</v>
      </c>
      <c r="H601">
        <v>405</v>
      </c>
      <c r="I601" t="s">
        <v>237</v>
      </c>
      <c r="J601">
        <v>8.5545797348022461</v>
      </c>
      <c r="K601">
        <v>-82.704696655273438</v>
      </c>
      <c r="L601">
        <v>78209</v>
      </c>
      <c r="M601">
        <v>40514</v>
      </c>
      <c r="N601" t="s">
        <v>685</v>
      </c>
      <c r="O601">
        <v>8.5208301544189453</v>
      </c>
      <c r="P601">
        <v>-82.610496520996094</v>
      </c>
      <c r="Q601">
        <v>0</v>
      </c>
    </row>
    <row r="602" spans="1:17" x14ac:dyDescent="0.25">
      <c r="A602">
        <v>591</v>
      </c>
      <c r="B602" t="str">
        <f t="shared" si="9"/>
        <v>San Isidro</v>
      </c>
      <c r="C602">
        <v>4</v>
      </c>
      <c r="D602" t="s">
        <v>205</v>
      </c>
      <c r="E602">
        <v>8.4871597290039063</v>
      </c>
      <c r="F602">
        <v>-82.403701782226563</v>
      </c>
      <c r="G602">
        <v>416873</v>
      </c>
      <c r="H602">
        <v>405</v>
      </c>
      <c r="I602" t="s">
        <v>237</v>
      </c>
      <c r="J602">
        <v>8.5545797348022461</v>
      </c>
      <c r="K602">
        <v>-82.704696655273438</v>
      </c>
      <c r="L602">
        <v>78209</v>
      </c>
      <c r="M602">
        <v>40515</v>
      </c>
      <c r="N602" t="s">
        <v>686</v>
      </c>
      <c r="O602">
        <v>8.5231199264526367</v>
      </c>
      <c r="P602">
        <v>-82.808799743652344</v>
      </c>
      <c r="Q602">
        <v>0</v>
      </c>
    </row>
    <row r="603" spans="1:17" x14ac:dyDescent="0.25">
      <c r="A603">
        <v>592</v>
      </c>
      <c r="B603" t="str">
        <f t="shared" si="9"/>
        <v>David Este</v>
      </c>
      <c r="C603">
        <v>4</v>
      </c>
      <c r="D603" t="s">
        <v>205</v>
      </c>
      <c r="E603">
        <v>8.4871597290039063</v>
      </c>
      <c r="F603">
        <v>-82.403701782226563</v>
      </c>
      <c r="G603">
        <v>416873</v>
      </c>
      <c r="H603">
        <v>406</v>
      </c>
      <c r="I603" t="s">
        <v>247</v>
      </c>
      <c r="J603">
        <v>8.4194097518920898</v>
      </c>
      <c r="K603">
        <v>-82.387199401855469</v>
      </c>
      <c r="L603">
        <v>144858</v>
      </c>
      <c r="M603">
        <v>40611</v>
      </c>
      <c r="N603" t="s">
        <v>687</v>
      </c>
      <c r="O603">
        <v>8.3806896209716797</v>
      </c>
      <c r="P603">
        <v>-82.411201477050781</v>
      </c>
      <c r="Q603">
        <v>0</v>
      </c>
    </row>
    <row r="604" spans="1:17" x14ac:dyDescent="0.25">
      <c r="A604">
        <v>593</v>
      </c>
      <c r="B604" t="str">
        <f t="shared" si="9"/>
        <v>David Sur</v>
      </c>
      <c r="C604">
        <v>4</v>
      </c>
      <c r="D604" t="s">
        <v>205</v>
      </c>
      <c r="E604">
        <v>8.4871597290039063</v>
      </c>
      <c r="F604">
        <v>-82.403701782226563</v>
      </c>
      <c r="G604">
        <v>416873</v>
      </c>
      <c r="H604">
        <v>406</v>
      </c>
      <c r="I604" t="s">
        <v>247</v>
      </c>
      <c r="J604">
        <v>8.4194097518920898</v>
      </c>
      <c r="K604">
        <v>-82.387199401855469</v>
      </c>
      <c r="L604">
        <v>144858</v>
      </c>
      <c r="M604">
        <v>40612</v>
      </c>
      <c r="N604" t="s">
        <v>688</v>
      </c>
      <c r="O604">
        <v>8.3998699188232422</v>
      </c>
      <c r="P604">
        <v>-82.447196960449219</v>
      </c>
      <c r="Q604">
        <v>0</v>
      </c>
    </row>
    <row r="605" spans="1:17" x14ac:dyDescent="0.25">
      <c r="A605">
        <v>594</v>
      </c>
      <c r="B605" t="str">
        <f t="shared" si="9"/>
        <v>Volcán (Cabecera)</v>
      </c>
      <c r="C605">
        <v>4</v>
      </c>
      <c r="D605" t="s">
        <v>205</v>
      </c>
      <c r="E605">
        <v>8.4871597290039063</v>
      </c>
      <c r="F605">
        <v>-82.403701782226563</v>
      </c>
      <c r="G605">
        <v>416873</v>
      </c>
      <c r="H605">
        <v>414</v>
      </c>
      <c r="I605" t="s">
        <v>689</v>
      </c>
      <c r="J605">
        <v>8.8073396682739258</v>
      </c>
      <c r="K605">
        <v>-82.6416015625</v>
      </c>
      <c r="L605">
        <v>0</v>
      </c>
      <c r="M605">
        <v>41401</v>
      </c>
      <c r="N605" t="s">
        <v>690</v>
      </c>
      <c r="O605">
        <v>8.7320098876953125</v>
      </c>
      <c r="P605">
        <v>-82.6636962890625</v>
      </c>
      <c r="Q605">
        <v>0</v>
      </c>
    </row>
    <row r="606" spans="1:17" x14ac:dyDescent="0.25">
      <c r="A606">
        <v>595</v>
      </c>
      <c r="B606" t="str">
        <f t="shared" si="9"/>
        <v>Cerro Punta</v>
      </c>
      <c r="C606">
        <v>4</v>
      </c>
      <c r="D606" t="s">
        <v>205</v>
      </c>
      <c r="E606">
        <v>8.4871597290039063</v>
      </c>
      <c r="F606">
        <v>-82.403701782226563</v>
      </c>
      <c r="G606">
        <v>416873</v>
      </c>
      <c r="H606">
        <v>414</v>
      </c>
      <c r="I606" t="s">
        <v>689</v>
      </c>
      <c r="J606">
        <v>8.8073396682739258</v>
      </c>
      <c r="K606">
        <v>-82.6416015625</v>
      </c>
      <c r="L606">
        <v>0</v>
      </c>
      <c r="M606">
        <v>41402</v>
      </c>
      <c r="N606" t="s">
        <v>691</v>
      </c>
      <c r="O606">
        <v>8.872349739074707</v>
      </c>
      <c r="P606">
        <v>-82.585403442382813</v>
      </c>
      <c r="Q606">
        <v>0</v>
      </c>
    </row>
    <row r="607" spans="1:17" x14ac:dyDescent="0.25">
      <c r="A607">
        <v>596</v>
      </c>
      <c r="B607" t="str">
        <f t="shared" si="9"/>
        <v>Cuesta de Piedra</v>
      </c>
      <c r="C607">
        <v>4</v>
      </c>
      <c r="D607" t="s">
        <v>205</v>
      </c>
      <c r="E607">
        <v>8.4871597290039063</v>
      </c>
      <c r="F607">
        <v>-82.403701782226563</v>
      </c>
      <c r="G607">
        <v>416873</v>
      </c>
      <c r="H607">
        <v>414</v>
      </c>
      <c r="I607" t="s">
        <v>689</v>
      </c>
      <c r="J607">
        <v>8.8073396682739258</v>
      </c>
      <c r="K607">
        <v>-82.6416015625</v>
      </c>
      <c r="L607">
        <v>0</v>
      </c>
      <c r="M607">
        <v>41403</v>
      </c>
      <c r="N607" t="s">
        <v>692</v>
      </c>
      <c r="O607">
        <v>8.7000198364257813</v>
      </c>
      <c r="P607">
        <v>-82.628402709960938</v>
      </c>
      <c r="Q607">
        <v>0</v>
      </c>
    </row>
    <row r="608" spans="1:17" x14ac:dyDescent="0.25">
      <c r="A608">
        <v>597</v>
      </c>
      <c r="B608" t="str">
        <f t="shared" si="9"/>
        <v>Nueva California</v>
      </c>
      <c r="C608">
        <v>4</v>
      </c>
      <c r="D608" t="s">
        <v>205</v>
      </c>
      <c r="E608">
        <v>8.4871597290039063</v>
      </c>
      <c r="F608">
        <v>-82.403701782226563</v>
      </c>
      <c r="G608">
        <v>416873</v>
      </c>
      <c r="H608">
        <v>414</v>
      </c>
      <c r="I608" t="s">
        <v>689</v>
      </c>
      <c r="J608">
        <v>8.8073396682739258</v>
      </c>
      <c r="K608">
        <v>-82.6416015625</v>
      </c>
      <c r="L608">
        <v>0</v>
      </c>
      <c r="M608">
        <v>41404</v>
      </c>
      <c r="N608" t="s">
        <v>693</v>
      </c>
      <c r="O608">
        <v>8.8422698974609375</v>
      </c>
      <c r="P608">
        <v>-82.677200317382813</v>
      </c>
      <c r="Q608">
        <v>0</v>
      </c>
    </row>
    <row r="609" spans="1:17" x14ac:dyDescent="0.25">
      <c r="A609">
        <v>598</v>
      </c>
      <c r="B609" t="str">
        <f t="shared" si="9"/>
        <v>Paso Ancho</v>
      </c>
      <c r="C609">
        <v>4</v>
      </c>
      <c r="D609" t="s">
        <v>205</v>
      </c>
      <c r="E609">
        <v>8.4871597290039063</v>
      </c>
      <c r="F609">
        <v>-82.403701782226563</v>
      </c>
      <c r="G609">
        <v>416873</v>
      </c>
      <c r="H609">
        <v>414</v>
      </c>
      <c r="I609" t="s">
        <v>689</v>
      </c>
      <c r="J609">
        <v>8.8073396682739258</v>
      </c>
      <c r="K609">
        <v>-82.6416015625</v>
      </c>
      <c r="L609">
        <v>0</v>
      </c>
      <c r="M609">
        <v>41405</v>
      </c>
      <c r="N609" t="s">
        <v>694</v>
      </c>
      <c r="O609">
        <v>8.8260698318481445</v>
      </c>
      <c r="P609">
        <v>-82.599296569824219</v>
      </c>
      <c r="Q609">
        <v>0</v>
      </c>
    </row>
    <row r="610" spans="1:17" x14ac:dyDescent="0.25">
      <c r="A610">
        <v>599</v>
      </c>
      <c r="B610" t="str">
        <f t="shared" si="9"/>
        <v>Río Congo</v>
      </c>
      <c r="C610">
        <v>5</v>
      </c>
      <c r="D610" t="s">
        <v>301</v>
      </c>
      <c r="E610">
        <v>8.1684103012084961</v>
      </c>
      <c r="F610">
        <v>-77.922096252441406</v>
      </c>
      <c r="G610">
        <v>48378</v>
      </c>
      <c r="H610">
        <v>503</v>
      </c>
      <c r="I610" t="s">
        <v>564</v>
      </c>
      <c r="J610">
        <v>8.6035499572753906</v>
      </c>
      <c r="K610">
        <v>-78.213302612304688</v>
      </c>
      <c r="L610">
        <v>0</v>
      </c>
      <c r="M610">
        <v>50307</v>
      </c>
      <c r="N610" t="s">
        <v>695</v>
      </c>
      <c r="O610">
        <v>8.5536699295043945</v>
      </c>
      <c r="P610">
        <v>-78.388099670410156</v>
      </c>
      <c r="Q610">
        <v>0</v>
      </c>
    </row>
    <row r="611" spans="1:17" x14ac:dyDescent="0.25">
      <c r="A611">
        <v>600</v>
      </c>
      <c r="B611" t="str">
        <f t="shared" si="9"/>
        <v>Agua Fría</v>
      </c>
      <c r="C611">
        <v>5</v>
      </c>
      <c r="D611" t="s">
        <v>301</v>
      </c>
      <c r="E611">
        <v>8.1684103012084961</v>
      </c>
      <c r="F611">
        <v>-77.922096252441406</v>
      </c>
      <c r="G611">
        <v>48378</v>
      </c>
      <c r="H611">
        <v>503</v>
      </c>
      <c r="I611" t="s">
        <v>564</v>
      </c>
      <c r="J611">
        <v>8.6035499572753906</v>
      </c>
      <c r="K611">
        <v>-78.213302612304688</v>
      </c>
      <c r="L611">
        <v>0</v>
      </c>
      <c r="M611">
        <v>50313</v>
      </c>
      <c r="N611" t="s">
        <v>696</v>
      </c>
      <c r="O611">
        <v>8.8349599838256836</v>
      </c>
      <c r="P611">
        <v>-78.198898315429688</v>
      </c>
      <c r="Q611">
        <v>0</v>
      </c>
    </row>
    <row r="612" spans="1:17" x14ac:dyDescent="0.25">
      <c r="A612">
        <v>601</v>
      </c>
      <c r="B612" t="str">
        <f t="shared" si="9"/>
        <v>Cucunatí</v>
      </c>
      <c r="C612">
        <v>5</v>
      </c>
      <c r="D612" t="s">
        <v>301</v>
      </c>
      <c r="E612">
        <v>8.1684103012084961</v>
      </c>
      <c r="F612">
        <v>-77.922096252441406</v>
      </c>
      <c r="G612">
        <v>48378</v>
      </c>
      <c r="H612">
        <v>503</v>
      </c>
      <c r="I612" t="s">
        <v>564</v>
      </c>
      <c r="J612">
        <v>8.6035499572753906</v>
      </c>
      <c r="K612">
        <v>-78.213302612304688</v>
      </c>
      <c r="L612">
        <v>0</v>
      </c>
      <c r="M612">
        <v>50314</v>
      </c>
      <c r="N612" t="s">
        <v>697</v>
      </c>
      <c r="O612">
        <v>8.5603103637695313</v>
      </c>
      <c r="P612">
        <v>-78.247398376464844</v>
      </c>
      <c r="Q612">
        <v>0</v>
      </c>
    </row>
    <row r="613" spans="1:17" x14ac:dyDescent="0.25">
      <c r="A613">
        <v>602</v>
      </c>
      <c r="B613" t="str">
        <f t="shared" si="9"/>
        <v>Río Congo Arriba</v>
      </c>
      <c r="C613">
        <v>5</v>
      </c>
      <c r="D613" t="s">
        <v>301</v>
      </c>
      <c r="E613">
        <v>8.1684103012084961</v>
      </c>
      <c r="F613">
        <v>-77.922096252441406</v>
      </c>
      <c r="G613">
        <v>48378</v>
      </c>
      <c r="H613">
        <v>503</v>
      </c>
      <c r="I613" t="s">
        <v>564</v>
      </c>
      <c r="J613">
        <v>8.6035499572753906</v>
      </c>
      <c r="K613">
        <v>-78.213302612304688</v>
      </c>
      <c r="L613">
        <v>0</v>
      </c>
      <c r="M613">
        <v>50315</v>
      </c>
      <c r="N613" t="s">
        <v>698</v>
      </c>
      <c r="O613">
        <v>8.7504501342773438</v>
      </c>
      <c r="P613">
        <v>-78.391502380371094</v>
      </c>
      <c r="Q613">
        <v>0</v>
      </c>
    </row>
    <row r="614" spans="1:17" x14ac:dyDescent="0.25">
      <c r="A614">
        <v>603</v>
      </c>
      <c r="B614" t="str">
        <f t="shared" si="9"/>
        <v>Santa Fe (Cabecera)</v>
      </c>
      <c r="C614">
        <v>5</v>
      </c>
      <c r="D614" t="s">
        <v>301</v>
      </c>
      <c r="E614">
        <v>8.1684103012084961</v>
      </c>
      <c r="F614">
        <v>-77.922096252441406</v>
      </c>
      <c r="G614">
        <v>48378</v>
      </c>
      <c r="H614">
        <v>503</v>
      </c>
      <c r="I614" t="s">
        <v>564</v>
      </c>
      <c r="J614">
        <v>8.6035499572753906</v>
      </c>
      <c r="K614">
        <v>-78.213302612304688</v>
      </c>
      <c r="L614">
        <v>0</v>
      </c>
      <c r="M614">
        <v>50316</v>
      </c>
      <c r="N614" t="s">
        <v>565</v>
      </c>
      <c r="O614">
        <v>8.7058496475219727</v>
      </c>
      <c r="P614">
        <v>-78.172996520996094</v>
      </c>
      <c r="Q614">
        <v>0</v>
      </c>
    </row>
    <row r="615" spans="1:17" x14ac:dyDescent="0.25">
      <c r="A615">
        <v>604</v>
      </c>
      <c r="B615" t="str">
        <f t="shared" si="9"/>
        <v>Sin asignar</v>
      </c>
      <c r="C615">
        <v>5</v>
      </c>
      <c r="D615" t="s">
        <v>301</v>
      </c>
      <c r="E615">
        <v>8.1684103012084961</v>
      </c>
      <c r="F615">
        <v>-77.922096252441406</v>
      </c>
      <c r="G615">
        <v>48378</v>
      </c>
      <c r="H615">
        <v>503</v>
      </c>
      <c r="I615" t="s">
        <v>564</v>
      </c>
      <c r="J615">
        <v>8.6035499572753906</v>
      </c>
      <c r="K615">
        <v>-78.213302612304688</v>
      </c>
      <c r="L615">
        <v>0</v>
      </c>
      <c r="M615">
        <v>50317</v>
      </c>
      <c r="N615" t="s">
        <v>99</v>
      </c>
      <c r="O615">
        <v>8.6056404113769531</v>
      </c>
      <c r="P615">
        <v>-78.087501525878906</v>
      </c>
      <c r="Q615">
        <v>0</v>
      </c>
    </row>
    <row r="616" spans="1:17" x14ac:dyDescent="0.25">
      <c r="A616">
        <v>605</v>
      </c>
      <c r="B616" t="str">
        <f t="shared" si="9"/>
        <v>Zapallal</v>
      </c>
      <c r="C616">
        <v>5</v>
      </c>
      <c r="D616" t="s">
        <v>301</v>
      </c>
      <c r="E616">
        <v>8.1684103012084961</v>
      </c>
      <c r="F616">
        <v>-77.922096252441406</v>
      </c>
      <c r="G616">
        <v>48378</v>
      </c>
      <c r="H616">
        <v>503</v>
      </c>
      <c r="I616" t="s">
        <v>564</v>
      </c>
      <c r="J616">
        <v>8.6035499572753906</v>
      </c>
      <c r="K616">
        <v>-78.213302612304688</v>
      </c>
      <c r="L616">
        <v>0</v>
      </c>
      <c r="M616">
        <v>50317</v>
      </c>
      <c r="N616" t="s">
        <v>699</v>
      </c>
      <c r="O616">
        <v>8.6354303359985352</v>
      </c>
      <c r="P616">
        <v>-78.111198425292969</v>
      </c>
      <c r="Q616">
        <v>0</v>
      </c>
    </row>
    <row r="617" spans="1:17" x14ac:dyDescent="0.25">
      <c r="A617">
        <v>606</v>
      </c>
      <c r="B617" t="str">
        <f t="shared" si="9"/>
        <v>Río Iglesias</v>
      </c>
      <c r="C617">
        <v>5</v>
      </c>
      <c r="D617" t="s">
        <v>301</v>
      </c>
      <c r="E617">
        <v>8.1684103012084961</v>
      </c>
      <c r="F617">
        <v>-77.922096252441406</v>
      </c>
      <c r="G617">
        <v>48378</v>
      </c>
      <c r="H617">
        <v>503</v>
      </c>
      <c r="I617" t="s">
        <v>564</v>
      </c>
      <c r="J617">
        <v>8.6035499572753906</v>
      </c>
      <c r="K617">
        <v>-78.213302612304688</v>
      </c>
      <c r="L617">
        <v>0</v>
      </c>
      <c r="M617">
        <v>50308</v>
      </c>
      <c r="N617" t="s">
        <v>700</v>
      </c>
      <c r="O617">
        <v>8.3676700592041016</v>
      </c>
      <c r="P617">
        <v>-77.983497619628906</v>
      </c>
      <c r="Q617">
        <v>0</v>
      </c>
    </row>
    <row r="618" spans="1:17" x14ac:dyDescent="0.25">
      <c r="A618">
        <v>607</v>
      </c>
      <c r="B618" t="str">
        <f t="shared" si="9"/>
        <v>Río Congo</v>
      </c>
      <c r="C618">
        <v>5</v>
      </c>
      <c r="D618" t="s">
        <v>301</v>
      </c>
      <c r="E618">
        <v>8.1684103012084961</v>
      </c>
      <c r="F618">
        <v>-77.922096252441406</v>
      </c>
      <c r="G618">
        <v>48378</v>
      </c>
      <c r="H618">
        <v>503</v>
      </c>
      <c r="I618" t="s">
        <v>564</v>
      </c>
      <c r="J618">
        <v>8.6035499572753906</v>
      </c>
      <c r="K618">
        <v>-78.213302612304688</v>
      </c>
      <c r="L618">
        <v>0</v>
      </c>
      <c r="M618">
        <v>50307</v>
      </c>
      <c r="N618" t="s">
        <v>695</v>
      </c>
      <c r="O618">
        <v>8.4940595626831055</v>
      </c>
      <c r="P618">
        <v>-78.391197204589844</v>
      </c>
      <c r="Q618">
        <v>0</v>
      </c>
    </row>
    <row r="619" spans="1:17" x14ac:dyDescent="0.25">
      <c r="A619">
        <v>608</v>
      </c>
      <c r="B619" t="str">
        <f t="shared" si="9"/>
        <v>Cucunatí</v>
      </c>
      <c r="C619">
        <v>5</v>
      </c>
      <c r="D619" t="s">
        <v>301</v>
      </c>
      <c r="E619">
        <v>8.1684103012084961</v>
      </c>
      <c r="F619">
        <v>-77.922096252441406</v>
      </c>
      <c r="G619">
        <v>48378</v>
      </c>
      <c r="H619">
        <v>503</v>
      </c>
      <c r="I619" t="s">
        <v>564</v>
      </c>
      <c r="J619">
        <v>8.6035499572753906</v>
      </c>
      <c r="K619">
        <v>-78.213302612304688</v>
      </c>
      <c r="L619">
        <v>0</v>
      </c>
      <c r="M619">
        <v>50314</v>
      </c>
      <c r="N619" t="s">
        <v>697</v>
      </c>
      <c r="O619">
        <v>8.5005502700805664</v>
      </c>
      <c r="P619">
        <v>-78.229202270507813</v>
      </c>
      <c r="Q619">
        <v>0</v>
      </c>
    </row>
    <row r="620" spans="1:17" x14ac:dyDescent="0.25">
      <c r="A620">
        <v>609</v>
      </c>
      <c r="B620" t="str">
        <f t="shared" si="9"/>
        <v>Río Iglesias</v>
      </c>
      <c r="C620">
        <v>5</v>
      </c>
      <c r="D620" t="s">
        <v>301</v>
      </c>
      <c r="E620">
        <v>8.1684103012084961</v>
      </c>
      <c r="F620">
        <v>-77.922096252441406</v>
      </c>
      <c r="G620">
        <v>48378</v>
      </c>
      <c r="H620">
        <v>503</v>
      </c>
      <c r="I620" t="s">
        <v>564</v>
      </c>
      <c r="J620">
        <v>8.6035499572753906</v>
      </c>
      <c r="K620">
        <v>-78.213302612304688</v>
      </c>
      <c r="L620">
        <v>0</v>
      </c>
      <c r="M620">
        <v>50308</v>
      </c>
      <c r="N620" t="s">
        <v>700</v>
      </c>
      <c r="O620">
        <v>8.3050498962402344</v>
      </c>
      <c r="P620">
        <v>-78.003501892089844</v>
      </c>
      <c r="Q620">
        <v>0</v>
      </c>
    </row>
    <row r="621" spans="1:17" x14ac:dyDescent="0.25">
      <c r="A621">
        <v>610</v>
      </c>
      <c r="B621" t="str">
        <f t="shared" si="9"/>
        <v>Zapallal</v>
      </c>
      <c r="C621">
        <v>5</v>
      </c>
      <c r="D621" t="s">
        <v>301</v>
      </c>
      <c r="E621">
        <v>8.1684103012084961</v>
      </c>
      <c r="F621">
        <v>-77.922096252441406</v>
      </c>
      <c r="G621">
        <v>48378</v>
      </c>
      <c r="H621">
        <v>503</v>
      </c>
      <c r="I621" t="s">
        <v>564</v>
      </c>
      <c r="J621">
        <v>8.6035499572753906</v>
      </c>
      <c r="K621">
        <v>-78.213302612304688</v>
      </c>
      <c r="L621">
        <v>0</v>
      </c>
      <c r="M621">
        <v>50317</v>
      </c>
      <c r="N621" t="s">
        <v>699</v>
      </c>
      <c r="O621">
        <v>8.5797004699707031</v>
      </c>
      <c r="P621">
        <v>-78.140800476074219</v>
      </c>
      <c r="Q621">
        <v>0</v>
      </c>
    </row>
    <row r="622" spans="1:17" x14ac:dyDescent="0.25">
      <c r="A622">
        <v>611</v>
      </c>
      <c r="B622" t="str">
        <f t="shared" si="9"/>
        <v>Santa Fe (Cabecera)</v>
      </c>
      <c r="C622">
        <v>5</v>
      </c>
      <c r="D622" t="s">
        <v>301</v>
      </c>
      <c r="E622">
        <v>8.1684103012084961</v>
      </c>
      <c r="F622">
        <v>-77.922096252441406</v>
      </c>
      <c r="G622">
        <v>48378</v>
      </c>
      <c r="H622">
        <v>503</v>
      </c>
      <c r="I622" t="s">
        <v>564</v>
      </c>
      <c r="J622">
        <v>8.6035499572753906</v>
      </c>
      <c r="K622">
        <v>-78.213302612304688</v>
      </c>
      <c r="L622">
        <v>0</v>
      </c>
      <c r="M622">
        <v>50316</v>
      </c>
      <c r="N622" t="s">
        <v>565</v>
      </c>
      <c r="O622">
        <v>8.5799903869628906</v>
      </c>
      <c r="P622">
        <v>-78.142799377441406</v>
      </c>
      <c r="Q622">
        <v>0</v>
      </c>
    </row>
    <row r="623" spans="1:17" x14ac:dyDescent="0.25">
      <c r="A623">
        <v>612</v>
      </c>
      <c r="B623" t="str">
        <f t="shared" si="9"/>
        <v>Entradero del Castillo</v>
      </c>
      <c r="C623">
        <v>6</v>
      </c>
      <c r="D623" t="s">
        <v>321</v>
      </c>
      <c r="E623">
        <v>7.8753299713134766</v>
      </c>
      <c r="F623">
        <v>-80.706199645996094</v>
      </c>
      <c r="G623">
        <v>109955</v>
      </c>
      <c r="H623">
        <v>604</v>
      </c>
      <c r="I623" t="s">
        <v>345</v>
      </c>
      <c r="J623">
        <v>7.9245400428771973</v>
      </c>
      <c r="K623">
        <v>-80.812202453613281</v>
      </c>
      <c r="L623">
        <v>15539</v>
      </c>
      <c r="M623">
        <v>60408</v>
      </c>
      <c r="N623" t="s">
        <v>701</v>
      </c>
      <c r="O623">
        <v>7.8453102111816406</v>
      </c>
      <c r="P623">
        <v>-80.867202758789063</v>
      </c>
      <c r="Q623">
        <v>0</v>
      </c>
    </row>
    <row r="624" spans="1:17" x14ac:dyDescent="0.25">
      <c r="A624">
        <v>613</v>
      </c>
      <c r="B624" t="str">
        <f t="shared" si="9"/>
        <v>El Ejido</v>
      </c>
      <c r="C624">
        <v>7</v>
      </c>
      <c r="D624" t="s">
        <v>374</v>
      </c>
      <c r="E624">
        <v>7.5865201950073242</v>
      </c>
      <c r="F624">
        <v>-80.392501831054688</v>
      </c>
      <c r="G624">
        <v>89592</v>
      </c>
      <c r="H624">
        <v>703</v>
      </c>
      <c r="I624" t="s">
        <v>374</v>
      </c>
      <c r="J624">
        <v>7.8709897994995117</v>
      </c>
      <c r="K624">
        <v>-80.434700012207031</v>
      </c>
      <c r="L624">
        <v>25723</v>
      </c>
      <c r="M624">
        <v>70315</v>
      </c>
      <c r="N624" t="s">
        <v>702</v>
      </c>
      <c r="O624">
        <v>7.9130702018737793</v>
      </c>
      <c r="P624">
        <v>-80.375503540039063</v>
      </c>
      <c r="Q624">
        <v>0</v>
      </c>
    </row>
    <row r="625" spans="1:17" x14ac:dyDescent="0.25">
      <c r="A625">
        <v>614</v>
      </c>
      <c r="B625" t="str">
        <f t="shared" si="9"/>
        <v>Don Bosco</v>
      </c>
      <c r="C625">
        <v>8</v>
      </c>
      <c r="D625" t="s">
        <v>451</v>
      </c>
      <c r="E625">
        <v>9.0696096420288086</v>
      </c>
      <c r="F625">
        <v>-78.849601745605469</v>
      </c>
      <c r="G625">
        <v>1713070</v>
      </c>
      <c r="H625">
        <v>808</v>
      </c>
      <c r="I625" t="s">
        <v>451</v>
      </c>
      <c r="J625">
        <v>9.2068700790405273</v>
      </c>
      <c r="K625">
        <v>-79.422203063964844</v>
      </c>
      <c r="L625">
        <v>880691</v>
      </c>
      <c r="M625">
        <v>80826</v>
      </c>
      <c r="N625" t="s">
        <v>703</v>
      </c>
      <c r="O625">
        <v>9.0358896255493164</v>
      </c>
      <c r="P625">
        <v>-79.418296813964844</v>
      </c>
      <c r="Q625">
        <v>0</v>
      </c>
    </row>
    <row r="626" spans="1:17" x14ac:dyDescent="0.25">
      <c r="A626">
        <v>615</v>
      </c>
      <c r="B626" t="str">
        <f t="shared" si="9"/>
        <v>El Higo</v>
      </c>
      <c r="C626">
        <v>9</v>
      </c>
      <c r="D626" t="s">
        <v>508</v>
      </c>
      <c r="E626">
        <v>8.0782098770141602</v>
      </c>
      <c r="F626">
        <v>-81.134902954101563</v>
      </c>
      <c r="G626">
        <v>226991</v>
      </c>
      <c r="H626">
        <v>904</v>
      </c>
      <c r="I626" t="s">
        <v>425</v>
      </c>
      <c r="J626">
        <v>8.168370246887207</v>
      </c>
      <c r="K626">
        <v>-81.225196838378906</v>
      </c>
      <c r="L626">
        <v>11631</v>
      </c>
      <c r="M626">
        <v>90407</v>
      </c>
      <c r="N626" t="s">
        <v>704</v>
      </c>
      <c r="O626">
        <v>8.2213001251220703</v>
      </c>
      <c r="P626">
        <v>-81.347396850585938</v>
      </c>
      <c r="Q626">
        <v>0</v>
      </c>
    </row>
    <row r="627" spans="1:17" x14ac:dyDescent="0.25">
      <c r="A627">
        <v>616</v>
      </c>
      <c r="B627" t="str">
        <f t="shared" si="9"/>
        <v>Manuel E. Amador Terrero</v>
      </c>
      <c r="C627">
        <v>9</v>
      </c>
      <c r="D627" t="s">
        <v>508</v>
      </c>
      <c r="E627">
        <v>8.0782098770141602</v>
      </c>
      <c r="F627">
        <v>-81.134902954101563</v>
      </c>
      <c r="G627">
        <v>226991</v>
      </c>
      <c r="H627">
        <v>905</v>
      </c>
      <c r="I627" t="s">
        <v>426</v>
      </c>
      <c r="J627">
        <v>8.0769996643066406</v>
      </c>
      <c r="K627">
        <v>-81.51080322265625</v>
      </c>
      <c r="L627">
        <v>17566</v>
      </c>
      <c r="M627">
        <v>90513</v>
      </c>
      <c r="N627" t="s">
        <v>705</v>
      </c>
      <c r="O627">
        <v>8.1607799530029297</v>
      </c>
      <c r="P627">
        <v>-81.42340087890625</v>
      </c>
      <c r="Q627">
        <v>0</v>
      </c>
    </row>
    <row r="628" spans="1:17" x14ac:dyDescent="0.25">
      <c r="A628">
        <v>617</v>
      </c>
      <c r="B628" t="str">
        <f t="shared" si="9"/>
        <v>Rodrigo Luque</v>
      </c>
      <c r="C628">
        <v>9</v>
      </c>
      <c r="D628" t="s">
        <v>508</v>
      </c>
      <c r="E628">
        <v>8.0782098770141602</v>
      </c>
      <c r="F628">
        <v>-81.134902954101563</v>
      </c>
      <c r="G628">
        <v>226991</v>
      </c>
      <c r="H628">
        <v>910</v>
      </c>
      <c r="I628" t="s">
        <v>573</v>
      </c>
      <c r="J628">
        <v>8.0401401519775391</v>
      </c>
      <c r="K628">
        <v>-80.96710205078125</v>
      </c>
      <c r="L628">
        <v>88997</v>
      </c>
      <c r="M628">
        <v>91013</v>
      </c>
      <c r="N628" t="s">
        <v>706</v>
      </c>
      <c r="O628">
        <v>8.1439895629882813</v>
      </c>
      <c r="P628">
        <v>-80.991897583007813</v>
      </c>
      <c r="Q628">
        <v>0</v>
      </c>
    </row>
    <row r="629" spans="1:17" x14ac:dyDescent="0.25">
      <c r="A629">
        <v>618</v>
      </c>
      <c r="B629" t="str">
        <f t="shared" si="9"/>
        <v>Nuevo Santiago</v>
      </c>
      <c r="C629">
        <v>9</v>
      </c>
      <c r="D629" t="s">
        <v>508</v>
      </c>
      <c r="E629">
        <v>8.0782098770141602</v>
      </c>
      <c r="F629">
        <v>-81.134902954101563</v>
      </c>
      <c r="G629">
        <v>226991</v>
      </c>
      <c r="H629">
        <v>910</v>
      </c>
      <c r="I629" t="s">
        <v>573</v>
      </c>
      <c r="J629">
        <v>8.0401401519775391</v>
      </c>
      <c r="K629">
        <v>-80.96710205078125</v>
      </c>
      <c r="L629">
        <v>88997</v>
      </c>
      <c r="M629">
        <v>91014</v>
      </c>
      <c r="N629" t="s">
        <v>707</v>
      </c>
      <c r="O629">
        <v>8.1001996994018555</v>
      </c>
      <c r="P629">
        <v>-80.926902770996094</v>
      </c>
      <c r="Q629">
        <v>0</v>
      </c>
    </row>
    <row r="630" spans="1:17" x14ac:dyDescent="0.25">
      <c r="A630">
        <v>619</v>
      </c>
      <c r="B630" t="str">
        <f t="shared" si="9"/>
        <v>Santiago Este</v>
      </c>
      <c r="C630">
        <v>9</v>
      </c>
      <c r="D630" t="s">
        <v>508</v>
      </c>
      <c r="E630">
        <v>8.0782098770141602</v>
      </c>
      <c r="F630">
        <v>-81.134902954101563</v>
      </c>
      <c r="G630">
        <v>226991</v>
      </c>
      <c r="H630">
        <v>910</v>
      </c>
      <c r="I630" t="s">
        <v>573</v>
      </c>
      <c r="J630">
        <v>8.0401401519775391</v>
      </c>
      <c r="K630">
        <v>-80.96710205078125</v>
      </c>
      <c r="L630">
        <v>88997</v>
      </c>
      <c r="M630">
        <v>91015</v>
      </c>
      <c r="N630" t="s">
        <v>708</v>
      </c>
      <c r="O630">
        <v>8.1596202850341797</v>
      </c>
      <c r="P630">
        <v>-80.739700317382813</v>
      </c>
      <c r="Q630">
        <v>0</v>
      </c>
    </row>
    <row r="631" spans="1:17" x14ac:dyDescent="0.25">
      <c r="A631">
        <v>620</v>
      </c>
      <c r="B631" t="str">
        <f t="shared" si="9"/>
        <v>Santiago Sur</v>
      </c>
      <c r="C631">
        <v>9</v>
      </c>
      <c r="D631" t="s">
        <v>508</v>
      </c>
      <c r="E631">
        <v>8.0782098770141602</v>
      </c>
      <c r="F631">
        <v>-81.134902954101563</v>
      </c>
      <c r="G631">
        <v>226991</v>
      </c>
      <c r="H631">
        <v>910</v>
      </c>
      <c r="I631" t="s">
        <v>573</v>
      </c>
      <c r="J631">
        <v>8.0401401519775391</v>
      </c>
      <c r="K631">
        <v>-80.96710205078125</v>
      </c>
      <c r="L631">
        <v>88997</v>
      </c>
      <c r="M631">
        <v>91016</v>
      </c>
      <c r="N631" t="s">
        <v>709</v>
      </c>
      <c r="O631">
        <v>7.7997498512268066</v>
      </c>
      <c r="P631">
        <v>-81.006301879882813</v>
      </c>
      <c r="Q631">
        <v>0</v>
      </c>
    </row>
    <row r="632" spans="1:17" x14ac:dyDescent="0.25">
      <c r="A632">
        <v>621</v>
      </c>
      <c r="B632" t="str">
        <f t="shared" si="9"/>
        <v>Hicaco</v>
      </c>
      <c r="C632">
        <v>9</v>
      </c>
      <c r="D632" t="s">
        <v>508</v>
      </c>
      <c r="E632">
        <v>8.0782098770141602</v>
      </c>
      <c r="F632">
        <v>-81.134902954101563</v>
      </c>
      <c r="G632">
        <v>226991</v>
      </c>
      <c r="H632">
        <v>911</v>
      </c>
      <c r="I632" t="s">
        <v>583</v>
      </c>
      <c r="J632">
        <v>7.8602399826049805</v>
      </c>
      <c r="K632">
        <v>-81.344497680664063</v>
      </c>
      <c r="L632">
        <v>27833</v>
      </c>
      <c r="M632">
        <v>91111</v>
      </c>
      <c r="N632" t="s">
        <v>710</v>
      </c>
      <c r="O632">
        <v>7.6706199645996094</v>
      </c>
      <c r="P632">
        <v>-81.242301940917969</v>
      </c>
      <c r="Q632">
        <v>0</v>
      </c>
    </row>
    <row r="633" spans="1:17" x14ac:dyDescent="0.25">
      <c r="A633">
        <v>622</v>
      </c>
      <c r="B633" t="str">
        <f t="shared" si="9"/>
        <v>La Trinchera</v>
      </c>
      <c r="C633">
        <v>9</v>
      </c>
      <c r="D633" t="s">
        <v>508</v>
      </c>
      <c r="E633">
        <v>8.0782098770141602</v>
      </c>
      <c r="F633">
        <v>-81.134902954101563</v>
      </c>
      <c r="G633">
        <v>226991</v>
      </c>
      <c r="H633">
        <v>911</v>
      </c>
      <c r="I633" t="s">
        <v>583</v>
      </c>
      <c r="J633">
        <v>7.8602399826049805</v>
      </c>
      <c r="K633">
        <v>-81.344497680664063</v>
      </c>
      <c r="L633">
        <v>27833</v>
      </c>
      <c r="M633">
        <v>91112</v>
      </c>
      <c r="N633" t="s">
        <v>711</v>
      </c>
      <c r="O633">
        <v>7.7822699546813965</v>
      </c>
      <c r="P633">
        <v>-81.313301086425781</v>
      </c>
      <c r="Q633">
        <v>0</v>
      </c>
    </row>
    <row r="634" spans="1:17" x14ac:dyDescent="0.25">
      <c r="A634">
        <v>623</v>
      </c>
      <c r="B634" t="str">
        <f t="shared" si="9"/>
        <v>Dikeri</v>
      </c>
      <c r="C634">
        <v>12</v>
      </c>
      <c r="D634" t="s">
        <v>608</v>
      </c>
      <c r="E634">
        <v>8.6566200256347656</v>
      </c>
      <c r="F634">
        <v>-81.76629638671875</v>
      </c>
      <c r="G634">
        <v>156747</v>
      </c>
      <c r="H634">
        <v>1203</v>
      </c>
      <c r="I634" t="s">
        <v>627</v>
      </c>
      <c r="J634">
        <v>8.4341402053833008</v>
      </c>
      <c r="K634">
        <v>-81.631301879882813</v>
      </c>
      <c r="L634">
        <v>36075</v>
      </c>
      <c r="M634">
        <v>120313</v>
      </c>
      <c r="N634" t="s">
        <v>712</v>
      </c>
      <c r="O634">
        <v>8.4016103744506836</v>
      </c>
      <c r="P634">
        <v>-81.644401550292969</v>
      </c>
      <c r="Q634">
        <v>0</v>
      </c>
    </row>
    <row r="635" spans="1:17" x14ac:dyDescent="0.25">
      <c r="A635">
        <v>624</v>
      </c>
      <c r="B635" t="str">
        <f t="shared" si="9"/>
        <v>Diko</v>
      </c>
      <c r="C635">
        <v>12</v>
      </c>
      <c r="D635" t="s">
        <v>608</v>
      </c>
      <c r="E635">
        <v>8.6566200256347656</v>
      </c>
      <c r="F635">
        <v>-81.76629638671875</v>
      </c>
      <c r="G635">
        <v>156747</v>
      </c>
      <c r="H635">
        <v>1203</v>
      </c>
      <c r="I635" t="s">
        <v>627</v>
      </c>
      <c r="J635">
        <v>8.4341402053833008</v>
      </c>
      <c r="K635">
        <v>-81.631301879882813</v>
      </c>
      <c r="L635">
        <v>36075</v>
      </c>
      <c r="M635">
        <v>120315</v>
      </c>
      <c r="N635" t="s">
        <v>713</v>
      </c>
      <c r="O635">
        <v>8.4643402099609375</v>
      </c>
      <c r="P635">
        <v>-81.731498718261719</v>
      </c>
      <c r="Q635">
        <v>0</v>
      </c>
    </row>
    <row r="636" spans="1:17" x14ac:dyDescent="0.25">
      <c r="A636">
        <v>625</v>
      </c>
      <c r="B636" t="str">
        <f t="shared" si="9"/>
        <v>Kikari</v>
      </c>
      <c r="C636">
        <v>12</v>
      </c>
      <c r="D636" t="s">
        <v>608</v>
      </c>
      <c r="E636">
        <v>8.6566200256347656</v>
      </c>
      <c r="F636">
        <v>-81.76629638671875</v>
      </c>
      <c r="G636">
        <v>156747</v>
      </c>
      <c r="H636">
        <v>1203</v>
      </c>
      <c r="I636" t="s">
        <v>627</v>
      </c>
      <c r="J636">
        <v>8.4341402053833008</v>
      </c>
      <c r="K636">
        <v>-81.631301879882813</v>
      </c>
      <c r="L636">
        <v>36075</v>
      </c>
      <c r="M636">
        <v>120315</v>
      </c>
      <c r="N636" t="s">
        <v>714</v>
      </c>
      <c r="O636">
        <v>8.3387899398803711</v>
      </c>
      <c r="P636">
        <v>-81.690399169921875</v>
      </c>
      <c r="Q636">
        <v>0</v>
      </c>
    </row>
    <row r="637" spans="1:17" x14ac:dyDescent="0.25">
      <c r="A637">
        <v>626</v>
      </c>
      <c r="B637" t="str">
        <f t="shared" si="9"/>
        <v>Mreeni</v>
      </c>
      <c r="C637">
        <v>12</v>
      </c>
      <c r="D637" t="s">
        <v>608</v>
      </c>
      <c r="E637">
        <v>8.6566200256347656</v>
      </c>
      <c r="F637">
        <v>-81.76629638671875</v>
      </c>
      <c r="G637">
        <v>156747</v>
      </c>
      <c r="H637">
        <v>1203</v>
      </c>
      <c r="I637" t="s">
        <v>627</v>
      </c>
      <c r="J637">
        <v>8.4341402053833008</v>
      </c>
      <c r="K637">
        <v>-81.631301879882813</v>
      </c>
      <c r="L637">
        <v>36075</v>
      </c>
      <c r="M637">
        <v>120316</v>
      </c>
      <c r="N637" t="s">
        <v>715</v>
      </c>
      <c r="O637">
        <v>8.3950099945068359</v>
      </c>
      <c r="P637">
        <v>-81.5509033203125</v>
      </c>
      <c r="Q637">
        <v>0</v>
      </c>
    </row>
    <row r="638" spans="1:17" x14ac:dyDescent="0.25">
      <c r="A638">
        <v>627</v>
      </c>
      <c r="B638" t="str">
        <f t="shared" si="9"/>
        <v>El Peñón</v>
      </c>
      <c r="C638">
        <v>12</v>
      </c>
      <c r="D638" t="s">
        <v>608</v>
      </c>
      <c r="E638">
        <v>8.6566200256347656</v>
      </c>
      <c r="F638">
        <v>-81.76629638671875</v>
      </c>
      <c r="G638">
        <v>156747</v>
      </c>
      <c r="H638">
        <v>1205</v>
      </c>
      <c r="I638" t="s">
        <v>645</v>
      </c>
      <c r="J638">
        <v>8.4499101638793945</v>
      </c>
      <c r="K638">
        <v>-81.395896911621094</v>
      </c>
      <c r="L638">
        <v>13172</v>
      </c>
      <c r="M638">
        <v>120510</v>
      </c>
      <c r="N638" t="s">
        <v>716</v>
      </c>
      <c r="O638">
        <v>8.4359502792358398</v>
      </c>
      <c r="P638">
        <v>-81.439796447753906</v>
      </c>
      <c r="Q638">
        <v>0</v>
      </c>
    </row>
    <row r="639" spans="1:17" x14ac:dyDescent="0.25">
      <c r="A639">
        <v>628</v>
      </c>
      <c r="B639" t="str">
        <f t="shared" si="9"/>
        <v>El Piro N°2 (Muakwata Kubu)</v>
      </c>
      <c r="C639">
        <v>12</v>
      </c>
      <c r="D639" t="s">
        <v>608</v>
      </c>
      <c r="E639">
        <v>8.6566200256347656</v>
      </c>
      <c r="F639">
        <v>-81.76629638671875</v>
      </c>
      <c r="G639">
        <v>156747</v>
      </c>
      <c r="H639">
        <v>1205</v>
      </c>
      <c r="I639" t="s">
        <v>645</v>
      </c>
      <c r="J639">
        <v>8.4499101638793945</v>
      </c>
      <c r="K639">
        <v>-81.395896911621094</v>
      </c>
      <c r="L639">
        <v>13172</v>
      </c>
      <c r="M639">
        <v>120511</v>
      </c>
      <c r="N639" t="s">
        <v>717</v>
      </c>
      <c r="O639">
        <v>8.4482498168945313</v>
      </c>
      <c r="P639">
        <v>-81.512199401855469</v>
      </c>
      <c r="Q639">
        <v>0</v>
      </c>
    </row>
    <row r="640" spans="1:17" x14ac:dyDescent="0.25">
      <c r="A640">
        <v>629</v>
      </c>
      <c r="B640" t="str">
        <f t="shared" si="9"/>
        <v>Calante</v>
      </c>
      <c r="C640">
        <v>12</v>
      </c>
      <c r="D640" t="s">
        <v>608</v>
      </c>
      <c r="E640">
        <v>8.6566200256347656</v>
      </c>
      <c r="F640">
        <v>-81.76629638671875</v>
      </c>
      <c r="G640">
        <v>156747</v>
      </c>
      <c r="H640">
        <v>1206</v>
      </c>
      <c r="I640" t="s">
        <v>655</v>
      </c>
      <c r="J640">
        <v>8.7318201065063477</v>
      </c>
      <c r="K640">
        <v>-81.792198181152344</v>
      </c>
      <c r="L640">
        <v>33121</v>
      </c>
      <c r="M640">
        <v>120610</v>
      </c>
      <c r="N640" t="s">
        <v>718</v>
      </c>
      <c r="O640">
        <v>8.7806301116943359</v>
      </c>
      <c r="P640">
        <v>-81.884002685546875</v>
      </c>
      <c r="Q640">
        <v>0</v>
      </c>
    </row>
    <row r="641" spans="1:17" x14ac:dyDescent="0.25">
      <c r="A641">
        <v>630</v>
      </c>
      <c r="B641" t="str">
        <f t="shared" si="9"/>
        <v>Tolote</v>
      </c>
      <c r="C641">
        <v>12</v>
      </c>
      <c r="D641" t="s">
        <v>608</v>
      </c>
      <c r="E641">
        <v>8.6566200256347656</v>
      </c>
      <c r="F641">
        <v>-81.76629638671875</v>
      </c>
      <c r="G641">
        <v>156747</v>
      </c>
      <c r="H641">
        <v>1206</v>
      </c>
      <c r="I641" t="s">
        <v>655</v>
      </c>
      <c r="J641">
        <v>8.7318201065063477</v>
      </c>
      <c r="K641">
        <v>-81.792198181152344</v>
      </c>
      <c r="L641">
        <v>33121</v>
      </c>
      <c r="M641">
        <v>120611</v>
      </c>
      <c r="N641" t="s">
        <v>719</v>
      </c>
      <c r="O641">
        <v>8.598170280456543</v>
      </c>
      <c r="P641">
        <v>-81.82659912109375</v>
      </c>
      <c r="Q641">
        <v>0</v>
      </c>
    </row>
    <row r="642" spans="1:17" x14ac:dyDescent="0.25">
      <c r="A642">
        <v>631</v>
      </c>
      <c r="B642" t="str">
        <f t="shared" si="9"/>
        <v>Cañaveral</v>
      </c>
      <c r="C642">
        <v>12</v>
      </c>
      <c r="D642" t="s">
        <v>608</v>
      </c>
      <c r="E642">
        <v>8.6566200256347656</v>
      </c>
      <c r="F642">
        <v>-81.76629638671875</v>
      </c>
      <c r="G642">
        <v>156747</v>
      </c>
      <c r="H642">
        <v>1207</v>
      </c>
      <c r="I642" t="s">
        <v>660</v>
      </c>
      <c r="J642">
        <v>8.8474102020263672</v>
      </c>
      <c r="K642">
        <v>-81.676597595214844</v>
      </c>
      <c r="L642">
        <v>20909</v>
      </c>
      <c r="M642">
        <v>120708</v>
      </c>
      <c r="N642" t="s">
        <v>156</v>
      </c>
      <c r="O642">
        <v>8.8311300277709961</v>
      </c>
      <c r="P642">
        <v>-81.717597961425781</v>
      </c>
      <c r="Q642">
        <v>0</v>
      </c>
    </row>
    <row r="643" spans="1:17" x14ac:dyDescent="0.25">
      <c r="A643">
        <v>632</v>
      </c>
      <c r="B643" t="str">
        <f t="shared" si="9"/>
        <v>Samboa (Cabecera)</v>
      </c>
      <c r="C643">
        <v>12</v>
      </c>
      <c r="D643" t="s">
        <v>608</v>
      </c>
      <c r="E643">
        <v>8.6566200256347656</v>
      </c>
      <c r="F643">
        <v>-81.76629638671875</v>
      </c>
      <c r="G643">
        <v>156747</v>
      </c>
      <c r="H643">
        <v>1208</v>
      </c>
      <c r="I643" t="s">
        <v>720</v>
      </c>
      <c r="J643">
        <v>8.8382101058959961</v>
      </c>
      <c r="K643">
        <v>-82.126502990722656</v>
      </c>
      <c r="L643">
        <v>0</v>
      </c>
      <c r="M643">
        <v>120801</v>
      </c>
      <c r="N643" t="s">
        <v>721</v>
      </c>
      <c r="O643">
        <v>8.7433996200561523</v>
      </c>
      <c r="P643">
        <v>-82.056098937988281</v>
      </c>
      <c r="Q643">
        <v>0</v>
      </c>
    </row>
    <row r="644" spans="1:17" x14ac:dyDescent="0.25">
      <c r="A644">
        <v>633</v>
      </c>
      <c r="B644" t="str">
        <f t="shared" si="9"/>
        <v>Büri</v>
      </c>
      <c r="C644">
        <v>12</v>
      </c>
      <c r="D644" t="s">
        <v>608</v>
      </c>
      <c r="E644">
        <v>8.6566200256347656</v>
      </c>
      <c r="F644">
        <v>-81.76629638671875</v>
      </c>
      <c r="G644">
        <v>156747</v>
      </c>
      <c r="H644">
        <v>1208</v>
      </c>
      <c r="I644" t="s">
        <v>720</v>
      </c>
      <c r="J644">
        <v>8.8382101058959961</v>
      </c>
      <c r="K644">
        <v>-82.126502990722656</v>
      </c>
      <c r="L644">
        <v>0</v>
      </c>
      <c r="M644">
        <v>120802</v>
      </c>
      <c r="N644" t="s">
        <v>722</v>
      </c>
      <c r="O644">
        <v>8.8467798233032227</v>
      </c>
      <c r="P644">
        <v>-82.237503051757813</v>
      </c>
      <c r="Q644">
        <v>0</v>
      </c>
    </row>
    <row r="645" spans="1:17" x14ac:dyDescent="0.25">
      <c r="A645">
        <v>634</v>
      </c>
      <c r="B645" t="str">
        <f t="shared" si="9"/>
        <v>Gwaribiara</v>
      </c>
      <c r="C645">
        <v>12</v>
      </c>
      <c r="D645" t="s">
        <v>608</v>
      </c>
      <c r="E645">
        <v>8.6566200256347656</v>
      </c>
      <c r="F645">
        <v>-81.76629638671875</v>
      </c>
      <c r="G645">
        <v>156747</v>
      </c>
      <c r="H645">
        <v>1208</v>
      </c>
      <c r="I645" t="s">
        <v>720</v>
      </c>
      <c r="J645">
        <v>8.8382101058959961</v>
      </c>
      <c r="K645">
        <v>-82.126502990722656</v>
      </c>
      <c r="L645">
        <v>0</v>
      </c>
      <c r="M645">
        <v>120803</v>
      </c>
      <c r="N645" t="s">
        <v>723</v>
      </c>
      <c r="O645">
        <v>8.7610101699829102</v>
      </c>
      <c r="P645">
        <v>-81.963798522949219</v>
      </c>
      <c r="Q645">
        <v>0</v>
      </c>
    </row>
    <row r="646" spans="1:17" x14ac:dyDescent="0.25">
      <c r="A646">
        <v>635</v>
      </c>
      <c r="B646" t="str">
        <f t="shared" si="9"/>
        <v>Man Creek</v>
      </c>
      <c r="C646">
        <v>12</v>
      </c>
      <c r="D646" t="s">
        <v>608</v>
      </c>
      <c r="E646">
        <v>8.6566200256347656</v>
      </c>
      <c r="F646">
        <v>-81.76629638671875</v>
      </c>
      <c r="G646">
        <v>156747</v>
      </c>
      <c r="H646">
        <v>1208</v>
      </c>
      <c r="I646" t="s">
        <v>720</v>
      </c>
      <c r="J646">
        <v>8.8382101058959961</v>
      </c>
      <c r="K646">
        <v>-82.126502990722656</v>
      </c>
      <c r="L646">
        <v>0</v>
      </c>
      <c r="M646">
        <v>120804</v>
      </c>
      <c r="N646" t="s">
        <v>724</v>
      </c>
      <c r="O646">
        <v>8.8656597137451172</v>
      </c>
      <c r="P646">
        <v>-82.078102111816406</v>
      </c>
      <c r="Q646">
        <v>0</v>
      </c>
    </row>
    <row r="647" spans="1:17" x14ac:dyDescent="0.25">
      <c r="A647">
        <v>636</v>
      </c>
      <c r="B647" t="str">
        <f t="shared" si="9"/>
        <v>Tu Gwai (Tuwai)</v>
      </c>
      <c r="C647">
        <v>12</v>
      </c>
      <c r="D647" t="s">
        <v>608</v>
      </c>
      <c r="E647">
        <v>8.6566200256347656</v>
      </c>
      <c r="F647">
        <v>-81.76629638671875</v>
      </c>
      <c r="G647">
        <v>156747</v>
      </c>
      <c r="H647">
        <v>1208</v>
      </c>
      <c r="I647" t="s">
        <v>720</v>
      </c>
      <c r="J647">
        <v>8.8382101058959961</v>
      </c>
      <c r="K647">
        <v>-82.126502990722656</v>
      </c>
      <c r="L647">
        <v>0</v>
      </c>
      <c r="M647">
        <v>120805</v>
      </c>
      <c r="N647" t="s">
        <v>725</v>
      </c>
      <c r="O647">
        <v>9.0009603500366211</v>
      </c>
      <c r="P647">
        <v>-82.320701599121094</v>
      </c>
      <c r="Q647">
        <v>0</v>
      </c>
    </row>
    <row r="648" spans="1:17" x14ac:dyDescent="0.25">
      <c r="A648">
        <v>637</v>
      </c>
      <c r="B648" t="str">
        <f t="shared" si="9"/>
        <v>Santa Catalina o Calovébora o Bledeshia (Cabecera</v>
      </c>
      <c r="C648">
        <v>12</v>
      </c>
      <c r="D648" t="s">
        <v>608</v>
      </c>
      <c r="E648">
        <v>8.6566200256347656</v>
      </c>
      <c r="F648">
        <v>-81.76629638671875</v>
      </c>
      <c r="G648">
        <v>156747</v>
      </c>
      <c r="H648">
        <v>1209</v>
      </c>
      <c r="I648" t="s">
        <v>726</v>
      </c>
      <c r="J648">
        <v>8.6731500625610352</v>
      </c>
      <c r="K648">
        <v>-81.356796264648438</v>
      </c>
      <c r="L648">
        <v>0</v>
      </c>
      <c r="M648">
        <v>120901</v>
      </c>
      <c r="N648" t="s">
        <v>727</v>
      </c>
      <c r="O648">
        <v>8.7390003204345703</v>
      </c>
      <c r="P648">
        <v>-81.302101135253906</v>
      </c>
      <c r="Q648">
        <v>0</v>
      </c>
    </row>
    <row r="649" spans="1:17" x14ac:dyDescent="0.25">
      <c r="A649">
        <v>638</v>
      </c>
      <c r="B649" t="str">
        <f t="shared" si="9"/>
        <v>Alto Bilingüe o Gdogüeshia</v>
      </c>
      <c r="C649">
        <v>12</v>
      </c>
      <c r="D649" t="s">
        <v>608</v>
      </c>
      <c r="E649">
        <v>8.6566200256347656</v>
      </c>
      <c r="F649">
        <v>-81.76629638671875</v>
      </c>
      <c r="G649">
        <v>156747</v>
      </c>
      <c r="H649">
        <v>1209</v>
      </c>
      <c r="I649" t="s">
        <v>726</v>
      </c>
      <c r="J649">
        <v>8.6731500625610352</v>
      </c>
      <c r="K649">
        <v>-81.356796264648438</v>
      </c>
      <c r="L649">
        <v>0</v>
      </c>
      <c r="M649">
        <v>120902</v>
      </c>
      <c r="N649" t="s">
        <v>728</v>
      </c>
      <c r="O649">
        <v>8.6598596572875977</v>
      </c>
      <c r="P649">
        <v>-81.27459716796875</v>
      </c>
      <c r="Q649">
        <v>0</v>
      </c>
    </row>
    <row r="650" spans="1:17" x14ac:dyDescent="0.25">
      <c r="A650">
        <v>639</v>
      </c>
      <c r="B650" t="str">
        <f t="shared" si="9"/>
        <v>Loma Yuca o Ijuicho</v>
      </c>
      <c r="C650">
        <v>12</v>
      </c>
      <c r="D650" t="s">
        <v>608</v>
      </c>
      <c r="E650">
        <v>8.6566200256347656</v>
      </c>
      <c r="F650">
        <v>-81.76629638671875</v>
      </c>
      <c r="G650">
        <v>156747</v>
      </c>
      <c r="H650">
        <v>1209</v>
      </c>
      <c r="I650" t="s">
        <v>726</v>
      </c>
      <c r="J650">
        <v>8.6731500625610352</v>
      </c>
      <c r="K650">
        <v>-81.356796264648438</v>
      </c>
      <c r="L650">
        <v>0</v>
      </c>
      <c r="M650">
        <v>120903</v>
      </c>
      <c r="N650" t="s">
        <v>729</v>
      </c>
      <c r="O650">
        <v>8.6509199142456055</v>
      </c>
      <c r="P650">
        <v>-81.418701171875</v>
      </c>
      <c r="Q650">
        <v>0</v>
      </c>
    </row>
    <row r="651" spans="1:17" x14ac:dyDescent="0.25">
      <c r="A651">
        <v>640</v>
      </c>
      <c r="B651" t="str">
        <f t="shared" si="9"/>
        <v>San Pedrito o Jiküi</v>
      </c>
      <c r="C651">
        <v>12</v>
      </c>
      <c r="D651" t="s">
        <v>608</v>
      </c>
      <c r="E651">
        <v>8.6566200256347656</v>
      </c>
      <c r="F651">
        <v>-81.76629638671875</v>
      </c>
      <c r="G651">
        <v>156747</v>
      </c>
      <c r="H651">
        <v>1209</v>
      </c>
      <c r="I651" t="s">
        <v>726</v>
      </c>
      <c r="J651">
        <v>8.6731500625610352</v>
      </c>
      <c r="K651">
        <v>-81.356796264648438</v>
      </c>
      <c r="L651">
        <v>0</v>
      </c>
      <c r="M651">
        <v>120904</v>
      </c>
      <c r="N651" t="s">
        <v>730</v>
      </c>
      <c r="O651">
        <v>8.7643003463745117</v>
      </c>
      <c r="P651">
        <v>-81.476799011230469</v>
      </c>
      <c r="Q651">
        <v>0</v>
      </c>
    </row>
    <row r="652" spans="1:17" x14ac:dyDescent="0.25">
      <c r="A652">
        <v>641</v>
      </c>
      <c r="B652" t="str">
        <f t="shared" ref="B652:B715" si="10">+N652</f>
        <v>Valle Bonito o Dogata</v>
      </c>
      <c r="C652">
        <v>12</v>
      </c>
      <c r="D652" t="s">
        <v>608</v>
      </c>
      <c r="E652">
        <v>8.6566200256347656</v>
      </c>
      <c r="F652">
        <v>-81.76629638671875</v>
      </c>
      <c r="G652">
        <v>156747</v>
      </c>
      <c r="H652">
        <v>1209</v>
      </c>
      <c r="I652" t="s">
        <v>726</v>
      </c>
      <c r="J652">
        <v>8.6731500625610352</v>
      </c>
      <c r="K652">
        <v>-81.356796264648438</v>
      </c>
      <c r="L652">
        <v>0</v>
      </c>
      <c r="M652">
        <v>120905</v>
      </c>
      <c r="N652" t="s">
        <v>731</v>
      </c>
      <c r="O652">
        <v>8.5742502212524414</v>
      </c>
      <c r="P652">
        <v>-81.255203247070313</v>
      </c>
      <c r="Q652">
        <v>0</v>
      </c>
    </row>
    <row r="653" spans="1:17" x14ac:dyDescent="0.25">
      <c r="A653">
        <v>642</v>
      </c>
      <c r="B653" t="str">
        <f t="shared" si="10"/>
        <v>Arraiján (Cabecera)</v>
      </c>
      <c r="C653">
        <v>13</v>
      </c>
      <c r="D653" t="s">
        <v>732</v>
      </c>
      <c r="E653">
        <v>8.8275299072265625</v>
      </c>
      <c r="F653">
        <v>-79.904403686523438</v>
      </c>
      <c r="G653">
        <v>0</v>
      </c>
      <c r="H653">
        <v>1301</v>
      </c>
      <c r="I653" t="s">
        <v>733</v>
      </c>
      <c r="J653">
        <v>8.9904899597167969</v>
      </c>
      <c r="K653">
        <v>-79.686698913574219</v>
      </c>
      <c r="L653">
        <v>0</v>
      </c>
      <c r="M653">
        <v>130101</v>
      </c>
      <c r="N653" t="s">
        <v>734</v>
      </c>
      <c r="O653">
        <v>8.9706897735595703</v>
      </c>
      <c r="P653">
        <v>-79.581001281738281</v>
      </c>
      <c r="Q653">
        <v>0</v>
      </c>
    </row>
    <row r="654" spans="1:17" x14ac:dyDescent="0.25">
      <c r="A654">
        <v>643</v>
      </c>
      <c r="B654" t="str">
        <f t="shared" si="10"/>
        <v>Arraiján (Cabecera)</v>
      </c>
      <c r="C654">
        <v>13</v>
      </c>
      <c r="D654" t="s">
        <v>732</v>
      </c>
      <c r="E654">
        <v>8.8275299072265625</v>
      </c>
      <c r="F654">
        <v>-79.904403686523438</v>
      </c>
      <c r="G654">
        <v>0</v>
      </c>
      <c r="H654">
        <v>1301</v>
      </c>
      <c r="I654" t="s">
        <v>733</v>
      </c>
      <c r="J654">
        <v>8.9904899597167969</v>
      </c>
      <c r="K654">
        <v>-79.686698913574219</v>
      </c>
      <c r="L654">
        <v>0</v>
      </c>
      <c r="M654">
        <v>130101</v>
      </c>
      <c r="N654" t="s">
        <v>734</v>
      </c>
      <c r="O654">
        <v>8.9635000228881836</v>
      </c>
      <c r="P654">
        <v>-79.625297546386719</v>
      </c>
      <c r="Q654">
        <v>0</v>
      </c>
    </row>
    <row r="655" spans="1:17" x14ac:dyDescent="0.25">
      <c r="A655">
        <v>644</v>
      </c>
      <c r="B655" t="str">
        <f t="shared" si="10"/>
        <v>Juan Demóstenes Arosemena</v>
      </c>
      <c r="C655">
        <v>13</v>
      </c>
      <c r="D655" t="s">
        <v>732</v>
      </c>
      <c r="E655">
        <v>8.8275299072265625</v>
      </c>
      <c r="F655">
        <v>-79.904403686523438</v>
      </c>
      <c r="G655">
        <v>0</v>
      </c>
      <c r="H655">
        <v>1301</v>
      </c>
      <c r="I655" t="s">
        <v>733</v>
      </c>
      <c r="J655">
        <v>8.9904899597167969</v>
      </c>
      <c r="K655">
        <v>-79.686698913574219</v>
      </c>
      <c r="L655">
        <v>0</v>
      </c>
      <c r="M655">
        <v>130102</v>
      </c>
      <c r="N655" t="s">
        <v>735</v>
      </c>
      <c r="O655">
        <v>8.9405603408813477</v>
      </c>
      <c r="P655">
        <v>-79.732101440429688</v>
      </c>
      <c r="Q655">
        <v>0</v>
      </c>
    </row>
    <row r="656" spans="1:17" x14ac:dyDescent="0.25">
      <c r="A656">
        <v>645</v>
      </c>
      <c r="B656" t="str">
        <f t="shared" si="10"/>
        <v>Nuevo Emperador</v>
      </c>
      <c r="C656">
        <v>13</v>
      </c>
      <c r="D656" t="s">
        <v>732</v>
      </c>
      <c r="E656">
        <v>8.8275299072265625</v>
      </c>
      <c r="F656">
        <v>-79.904403686523438</v>
      </c>
      <c r="G656">
        <v>0</v>
      </c>
      <c r="H656">
        <v>1301</v>
      </c>
      <c r="I656" t="s">
        <v>733</v>
      </c>
      <c r="J656">
        <v>8.9904899597167969</v>
      </c>
      <c r="K656">
        <v>-79.686698913574219</v>
      </c>
      <c r="L656">
        <v>0</v>
      </c>
      <c r="M656">
        <v>130103</v>
      </c>
      <c r="N656" t="s">
        <v>736</v>
      </c>
      <c r="O656">
        <v>9.0391197204589844</v>
      </c>
      <c r="P656">
        <v>-79.714302062988281</v>
      </c>
      <c r="Q656">
        <v>0</v>
      </c>
    </row>
    <row r="657" spans="1:17" x14ac:dyDescent="0.25">
      <c r="A657">
        <v>646</v>
      </c>
      <c r="B657" t="str">
        <f t="shared" si="10"/>
        <v>Nuevo Emperador</v>
      </c>
      <c r="C657">
        <v>13</v>
      </c>
      <c r="D657" t="s">
        <v>732</v>
      </c>
      <c r="E657">
        <v>8.8275299072265625</v>
      </c>
      <c r="F657">
        <v>-79.904403686523438</v>
      </c>
      <c r="G657">
        <v>0</v>
      </c>
      <c r="H657">
        <v>1301</v>
      </c>
      <c r="I657" t="s">
        <v>733</v>
      </c>
      <c r="J657">
        <v>8.9904899597167969</v>
      </c>
      <c r="K657">
        <v>-79.686698913574219</v>
      </c>
      <c r="L657">
        <v>0</v>
      </c>
      <c r="M657">
        <v>130103</v>
      </c>
      <c r="N657" t="s">
        <v>736</v>
      </c>
      <c r="O657">
        <v>9.1024398803710938</v>
      </c>
      <c r="P657">
        <v>-79.712501525878906</v>
      </c>
      <c r="Q657">
        <v>0</v>
      </c>
    </row>
    <row r="658" spans="1:17" x14ac:dyDescent="0.25">
      <c r="A658">
        <v>647</v>
      </c>
      <c r="B658" t="str">
        <f t="shared" si="10"/>
        <v>Santa Clara</v>
      </c>
      <c r="C658">
        <v>13</v>
      </c>
      <c r="D658" t="s">
        <v>732</v>
      </c>
      <c r="E658">
        <v>8.8275299072265625</v>
      </c>
      <c r="F658">
        <v>-79.904403686523438</v>
      </c>
      <c r="G658">
        <v>0</v>
      </c>
      <c r="H658">
        <v>1301</v>
      </c>
      <c r="I658" t="s">
        <v>733</v>
      </c>
      <c r="J658">
        <v>8.9904899597167969</v>
      </c>
      <c r="K658">
        <v>-79.686698913574219</v>
      </c>
      <c r="L658">
        <v>0</v>
      </c>
      <c r="M658">
        <v>130104</v>
      </c>
      <c r="N658" t="s">
        <v>283</v>
      </c>
      <c r="O658">
        <v>9.0717401504516602</v>
      </c>
      <c r="P658">
        <v>-79.758499145507813</v>
      </c>
      <c r="Q658">
        <v>0</v>
      </c>
    </row>
    <row r="659" spans="1:17" x14ac:dyDescent="0.25">
      <c r="A659">
        <v>648</v>
      </c>
      <c r="B659" t="str">
        <f t="shared" si="10"/>
        <v>Santa Clara</v>
      </c>
      <c r="C659">
        <v>13</v>
      </c>
      <c r="D659" t="s">
        <v>732</v>
      </c>
      <c r="E659">
        <v>8.8275299072265625</v>
      </c>
      <c r="F659">
        <v>-79.904403686523438</v>
      </c>
      <c r="G659">
        <v>0</v>
      </c>
      <c r="H659">
        <v>1301</v>
      </c>
      <c r="I659" t="s">
        <v>733</v>
      </c>
      <c r="J659">
        <v>8.9904899597167969</v>
      </c>
      <c r="K659">
        <v>-79.686698913574219</v>
      </c>
      <c r="L659">
        <v>0</v>
      </c>
      <c r="M659">
        <v>130104</v>
      </c>
      <c r="N659" t="s">
        <v>283</v>
      </c>
      <c r="O659">
        <v>9.1041297912597656</v>
      </c>
      <c r="P659">
        <v>-79.786201477050781</v>
      </c>
      <c r="Q659">
        <v>0</v>
      </c>
    </row>
    <row r="660" spans="1:17" x14ac:dyDescent="0.25">
      <c r="A660">
        <v>649</v>
      </c>
      <c r="B660" t="str">
        <f t="shared" si="10"/>
        <v>Veracruz</v>
      </c>
      <c r="C660">
        <v>13</v>
      </c>
      <c r="D660" t="s">
        <v>732</v>
      </c>
      <c r="E660">
        <v>8.8275299072265625</v>
      </c>
      <c r="F660">
        <v>-79.904403686523438</v>
      </c>
      <c r="G660">
        <v>0</v>
      </c>
      <c r="H660">
        <v>1301</v>
      </c>
      <c r="I660" t="s">
        <v>733</v>
      </c>
      <c r="J660">
        <v>8.9904899597167969</v>
      </c>
      <c r="K660">
        <v>-79.686698913574219</v>
      </c>
      <c r="L660">
        <v>0</v>
      </c>
      <c r="M660">
        <v>130105</v>
      </c>
      <c r="N660" t="s">
        <v>737</v>
      </c>
      <c r="O660">
        <v>8.9176597595214844</v>
      </c>
      <c r="P660">
        <v>-79.603302001953125</v>
      </c>
      <c r="Q660">
        <v>0</v>
      </c>
    </row>
    <row r="661" spans="1:17" x14ac:dyDescent="0.25">
      <c r="A661">
        <v>650</v>
      </c>
      <c r="B661" t="str">
        <f t="shared" si="10"/>
        <v>Vista Alegre</v>
      </c>
      <c r="C661">
        <v>13</v>
      </c>
      <c r="D661" t="s">
        <v>732</v>
      </c>
      <c r="E661">
        <v>8.8275299072265625</v>
      </c>
      <c r="F661">
        <v>-79.904403686523438</v>
      </c>
      <c r="G661">
        <v>0</v>
      </c>
      <c r="H661">
        <v>1301</v>
      </c>
      <c r="I661" t="s">
        <v>733</v>
      </c>
      <c r="J661">
        <v>8.9904899597167969</v>
      </c>
      <c r="K661">
        <v>-79.686698913574219</v>
      </c>
      <c r="L661">
        <v>0</v>
      </c>
      <c r="M661">
        <v>130106</v>
      </c>
      <c r="N661" t="s">
        <v>738</v>
      </c>
      <c r="O661">
        <v>8.9017696380615234</v>
      </c>
      <c r="P661">
        <v>-79.691200256347656</v>
      </c>
      <c r="Q661">
        <v>0</v>
      </c>
    </row>
    <row r="662" spans="1:17" x14ac:dyDescent="0.25">
      <c r="A662">
        <v>651</v>
      </c>
      <c r="B662" t="str">
        <f t="shared" si="10"/>
        <v>Burunga</v>
      </c>
      <c r="C662">
        <v>13</v>
      </c>
      <c r="D662" t="s">
        <v>732</v>
      </c>
      <c r="E662">
        <v>8.8275299072265625</v>
      </c>
      <c r="F662">
        <v>-79.904403686523438</v>
      </c>
      <c r="G662">
        <v>0</v>
      </c>
      <c r="H662">
        <v>1301</v>
      </c>
      <c r="I662" t="s">
        <v>733</v>
      </c>
      <c r="J662">
        <v>8.9904899597167969</v>
      </c>
      <c r="K662">
        <v>-79.686698913574219</v>
      </c>
      <c r="L662">
        <v>0</v>
      </c>
      <c r="M662">
        <v>130107</v>
      </c>
      <c r="N662" t="s">
        <v>739</v>
      </c>
      <c r="O662">
        <v>9.026519775390625</v>
      </c>
      <c r="P662">
        <v>-79.627899169921875</v>
      </c>
      <c r="Q662">
        <v>0</v>
      </c>
    </row>
    <row r="663" spans="1:17" x14ac:dyDescent="0.25">
      <c r="A663">
        <v>652</v>
      </c>
      <c r="B663" t="str">
        <f t="shared" si="10"/>
        <v>Burunga</v>
      </c>
      <c r="C663">
        <v>13</v>
      </c>
      <c r="D663" t="s">
        <v>732</v>
      </c>
      <c r="E663">
        <v>8.8275299072265625</v>
      </c>
      <c r="F663">
        <v>-79.904403686523438</v>
      </c>
      <c r="G663">
        <v>0</v>
      </c>
      <c r="H663">
        <v>1301</v>
      </c>
      <c r="I663" t="s">
        <v>733</v>
      </c>
      <c r="J663">
        <v>8.9904899597167969</v>
      </c>
      <c r="K663">
        <v>-79.686698913574219</v>
      </c>
      <c r="L663">
        <v>0</v>
      </c>
      <c r="M663">
        <v>130107</v>
      </c>
      <c r="N663" t="s">
        <v>739</v>
      </c>
      <c r="O663">
        <v>8.9942398071289063</v>
      </c>
      <c r="P663">
        <v>-79.665397644042969</v>
      </c>
      <c r="Q663">
        <v>0</v>
      </c>
    </row>
    <row r="664" spans="1:17" x14ac:dyDescent="0.25">
      <c r="A664">
        <v>653</v>
      </c>
      <c r="B664" t="str">
        <f t="shared" si="10"/>
        <v>Cerro Silvestre</v>
      </c>
      <c r="C664">
        <v>13</v>
      </c>
      <c r="D664" t="s">
        <v>732</v>
      </c>
      <c r="E664">
        <v>8.8275299072265625</v>
      </c>
      <c r="F664">
        <v>-79.904403686523438</v>
      </c>
      <c r="G664">
        <v>0</v>
      </c>
      <c r="H664">
        <v>1301</v>
      </c>
      <c r="I664" t="s">
        <v>733</v>
      </c>
      <c r="J664">
        <v>8.9904899597167969</v>
      </c>
      <c r="K664">
        <v>-79.686698913574219</v>
      </c>
      <c r="L664">
        <v>0</v>
      </c>
      <c r="M664">
        <v>130108</v>
      </c>
      <c r="N664" t="s">
        <v>740</v>
      </c>
      <c r="O664">
        <v>8.9339103698730469</v>
      </c>
      <c r="P664">
        <v>-79.680496215820313</v>
      </c>
      <c r="Q664">
        <v>0</v>
      </c>
    </row>
    <row r="665" spans="1:17" x14ac:dyDescent="0.25">
      <c r="A665">
        <v>654</v>
      </c>
      <c r="B665" t="str">
        <f t="shared" si="10"/>
        <v>Capira (Cabecera)</v>
      </c>
      <c r="C665">
        <v>13</v>
      </c>
      <c r="D665" t="s">
        <v>732</v>
      </c>
      <c r="E665">
        <v>8.8275299072265625</v>
      </c>
      <c r="F665">
        <v>-79.904403686523438</v>
      </c>
      <c r="G665">
        <v>0</v>
      </c>
      <c r="H665">
        <v>1303</v>
      </c>
      <c r="I665" t="s">
        <v>741</v>
      </c>
      <c r="J665">
        <v>8.7977695465087891</v>
      </c>
      <c r="K665">
        <v>-79.991996765136719</v>
      </c>
      <c r="L665">
        <v>38398</v>
      </c>
      <c r="M665">
        <v>130301</v>
      </c>
      <c r="N665" t="s">
        <v>742</v>
      </c>
      <c r="O665">
        <v>8.7658300399780273</v>
      </c>
      <c r="P665">
        <v>-79.843696594238281</v>
      </c>
      <c r="Q665">
        <v>0</v>
      </c>
    </row>
    <row r="666" spans="1:17" x14ac:dyDescent="0.25">
      <c r="A666">
        <v>655</v>
      </c>
      <c r="B666" t="str">
        <f t="shared" si="10"/>
        <v>Caimito</v>
      </c>
      <c r="C666">
        <v>13</v>
      </c>
      <c r="D666" t="s">
        <v>732</v>
      </c>
      <c r="E666">
        <v>8.8275299072265625</v>
      </c>
      <c r="F666">
        <v>-79.904403686523438</v>
      </c>
      <c r="G666">
        <v>0</v>
      </c>
      <c r="H666">
        <v>1303</v>
      </c>
      <c r="I666" t="s">
        <v>741</v>
      </c>
      <c r="J666">
        <v>8.7977695465087891</v>
      </c>
      <c r="K666">
        <v>-79.991996765136719</v>
      </c>
      <c r="L666">
        <v>38398</v>
      </c>
      <c r="M666">
        <v>130302</v>
      </c>
      <c r="N666" t="s">
        <v>743</v>
      </c>
      <c r="O666">
        <v>8.8097000122070313</v>
      </c>
      <c r="P666">
        <v>-79.963798522949219</v>
      </c>
      <c r="Q666">
        <v>0</v>
      </c>
    </row>
    <row r="667" spans="1:17" x14ac:dyDescent="0.25">
      <c r="A667">
        <v>656</v>
      </c>
      <c r="B667" t="str">
        <f t="shared" si="10"/>
        <v>Campana</v>
      </c>
      <c r="C667">
        <v>13</v>
      </c>
      <c r="D667" t="s">
        <v>732</v>
      </c>
      <c r="E667">
        <v>8.8275299072265625</v>
      </c>
      <c r="F667">
        <v>-79.904403686523438</v>
      </c>
      <c r="G667">
        <v>0</v>
      </c>
      <c r="H667">
        <v>1303</v>
      </c>
      <c r="I667" t="s">
        <v>741</v>
      </c>
      <c r="J667">
        <v>8.7977695465087891</v>
      </c>
      <c r="K667">
        <v>-79.991996765136719</v>
      </c>
      <c r="L667">
        <v>38398</v>
      </c>
      <c r="M667">
        <v>130303</v>
      </c>
      <c r="N667" t="s">
        <v>744</v>
      </c>
      <c r="O667">
        <v>8.6926803588867188</v>
      </c>
      <c r="P667">
        <v>-79.871101379394531</v>
      </c>
      <c r="Q667">
        <v>0</v>
      </c>
    </row>
    <row r="668" spans="1:17" x14ac:dyDescent="0.25">
      <c r="A668">
        <v>657</v>
      </c>
      <c r="B668" t="str">
        <f t="shared" si="10"/>
        <v>Lídice</v>
      </c>
      <c r="C668">
        <v>13</v>
      </c>
      <c r="D668" t="s">
        <v>732</v>
      </c>
      <c r="E668">
        <v>8.8275299072265625</v>
      </c>
      <c r="F668">
        <v>-79.904403686523438</v>
      </c>
      <c r="G668">
        <v>0</v>
      </c>
      <c r="H668">
        <v>1303</v>
      </c>
      <c r="I668" t="s">
        <v>741</v>
      </c>
      <c r="J668">
        <v>8.7977695465087891</v>
      </c>
      <c r="K668">
        <v>-79.991996765136719</v>
      </c>
      <c r="L668">
        <v>38398</v>
      </c>
      <c r="M668">
        <v>130310</v>
      </c>
      <c r="N668" t="s">
        <v>745</v>
      </c>
      <c r="O668">
        <v>8.7509098052978516</v>
      </c>
      <c r="P668">
        <v>-79.932403564453125</v>
      </c>
      <c r="Q668">
        <v>0</v>
      </c>
    </row>
    <row r="669" spans="1:17" x14ac:dyDescent="0.25">
      <c r="A669">
        <v>658</v>
      </c>
      <c r="B669" t="str">
        <f t="shared" si="10"/>
        <v>Cirí de Los Sotos</v>
      </c>
      <c r="C669">
        <v>13</v>
      </c>
      <c r="D669" t="s">
        <v>732</v>
      </c>
      <c r="E669">
        <v>8.8275299072265625</v>
      </c>
      <c r="F669">
        <v>-79.904403686523438</v>
      </c>
      <c r="G669">
        <v>0</v>
      </c>
      <c r="H669">
        <v>1303</v>
      </c>
      <c r="I669" t="s">
        <v>741</v>
      </c>
      <c r="J669">
        <v>8.7977695465087891</v>
      </c>
      <c r="K669">
        <v>-79.991996765136719</v>
      </c>
      <c r="L669">
        <v>38398</v>
      </c>
      <c r="M669">
        <v>130305</v>
      </c>
      <c r="N669" t="s">
        <v>746</v>
      </c>
      <c r="O669">
        <v>8.932499885559082</v>
      </c>
      <c r="P669">
        <v>-80.102798461914063</v>
      </c>
      <c r="Q669">
        <v>0</v>
      </c>
    </row>
    <row r="670" spans="1:17" x14ac:dyDescent="0.25">
      <c r="A670">
        <v>659</v>
      </c>
      <c r="B670" t="str">
        <f t="shared" si="10"/>
        <v>Cirí Grande</v>
      </c>
      <c r="C670">
        <v>13</v>
      </c>
      <c r="D670" t="s">
        <v>732</v>
      </c>
      <c r="E670">
        <v>8.8275299072265625</v>
      </c>
      <c r="F670">
        <v>-79.904403686523438</v>
      </c>
      <c r="G670">
        <v>0</v>
      </c>
      <c r="H670">
        <v>1303</v>
      </c>
      <c r="I670" t="s">
        <v>741</v>
      </c>
      <c r="J670">
        <v>8.7977695465087891</v>
      </c>
      <c r="K670">
        <v>-79.991996765136719</v>
      </c>
      <c r="L670">
        <v>38398</v>
      </c>
      <c r="M670">
        <v>130306</v>
      </c>
      <c r="N670" t="s">
        <v>747</v>
      </c>
      <c r="O670">
        <v>8.7761402130126953</v>
      </c>
      <c r="P670">
        <v>-80.090301513671875</v>
      </c>
      <c r="Q670">
        <v>0</v>
      </c>
    </row>
    <row r="671" spans="1:17" x14ac:dyDescent="0.25">
      <c r="A671">
        <v>660</v>
      </c>
      <c r="B671" t="str">
        <f t="shared" si="10"/>
        <v>El Cacao</v>
      </c>
      <c r="C671">
        <v>13</v>
      </c>
      <c r="D671" t="s">
        <v>732</v>
      </c>
      <c r="E671">
        <v>8.8275299072265625</v>
      </c>
      <c r="F671">
        <v>-79.904403686523438</v>
      </c>
      <c r="G671">
        <v>0</v>
      </c>
      <c r="H671">
        <v>1303</v>
      </c>
      <c r="I671" t="s">
        <v>741</v>
      </c>
      <c r="J671">
        <v>8.7977695465087891</v>
      </c>
      <c r="K671">
        <v>-79.991996765136719</v>
      </c>
      <c r="L671">
        <v>38398</v>
      </c>
      <c r="M671">
        <v>130307</v>
      </c>
      <c r="N671" t="s">
        <v>444</v>
      </c>
      <c r="O671">
        <v>8.7447900772094727</v>
      </c>
      <c r="P671">
        <v>-80.025596618652344</v>
      </c>
      <c r="Q671">
        <v>0</v>
      </c>
    </row>
    <row r="672" spans="1:17" x14ac:dyDescent="0.25">
      <c r="A672">
        <v>661</v>
      </c>
      <c r="B672" t="str">
        <f t="shared" si="10"/>
        <v>La Trinidad</v>
      </c>
      <c r="C672">
        <v>13</v>
      </c>
      <c r="D672" t="s">
        <v>732</v>
      </c>
      <c r="E672">
        <v>8.8275299072265625</v>
      </c>
      <c r="F672">
        <v>-79.904403686523438</v>
      </c>
      <c r="G672">
        <v>0</v>
      </c>
      <c r="H672">
        <v>1303</v>
      </c>
      <c r="I672" t="s">
        <v>741</v>
      </c>
      <c r="J672">
        <v>8.7977695465087891</v>
      </c>
      <c r="K672">
        <v>-79.991996765136719</v>
      </c>
      <c r="L672">
        <v>38398</v>
      </c>
      <c r="M672">
        <v>130308</v>
      </c>
      <c r="N672" t="s">
        <v>748</v>
      </c>
      <c r="O672">
        <v>8.9119701385498047</v>
      </c>
      <c r="P672">
        <v>-80.013496398925781</v>
      </c>
      <c r="Q672">
        <v>0</v>
      </c>
    </row>
    <row r="673" spans="1:17" x14ac:dyDescent="0.25">
      <c r="A673">
        <v>662</v>
      </c>
      <c r="B673" t="str">
        <f t="shared" si="10"/>
        <v>Las Ollas Arriba</v>
      </c>
      <c r="C673">
        <v>13</v>
      </c>
      <c r="D673" t="s">
        <v>732</v>
      </c>
      <c r="E673">
        <v>8.8275299072265625</v>
      </c>
      <c r="F673">
        <v>-79.904403686523438</v>
      </c>
      <c r="G673">
        <v>0</v>
      </c>
      <c r="H673">
        <v>1303</v>
      </c>
      <c r="I673" t="s">
        <v>741</v>
      </c>
      <c r="J673">
        <v>8.7977695465087891</v>
      </c>
      <c r="K673">
        <v>-79.991996765136719</v>
      </c>
      <c r="L673">
        <v>38398</v>
      </c>
      <c r="M673">
        <v>130309</v>
      </c>
      <c r="N673" t="s">
        <v>749</v>
      </c>
      <c r="O673">
        <v>8.7975502014160156</v>
      </c>
      <c r="P673">
        <v>-79.905601501464844</v>
      </c>
      <c r="Q673">
        <v>0</v>
      </c>
    </row>
    <row r="674" spans="1:17" x14ac:dyDescent="0.25">
      <c r="A674">
        <v>663</v>
      </c>
      <c r="B674" t="str">
        <f t="shared" si="10"/>
        <v>Villa Carmen</v>
      </c>
      <c r="C674">
        <v>13</v>
      </c>
      <c r="D674" t="s">
        <v>732</v>
      </c>
      <c r="E674">
        <v>8.8275299072265625</v>
      </c>
      <c r="F674">
        <v>-79.904403686523438</v>
      </c>
      <c r="G674">
        <v>0</v>
      </c>
      <c r="H674">
        <v>1303</v>
      </c>
      <c r="I674" t="s">
        <v>741</v>
      </c>
      <c r="J674">
        <v>8.7977695465087891</v>
      </c>
      <c r="K674">
        <v>-79.991996765136719</v>
      </c>
      <c r="L674">
        <v>38398</v>
      </c>
      <c r="M674">
        <v>130311</v>
      </c>
      <c r="N674" t="s">
        <v>750</v>
      </c>
      <c r="O674">
        <v>8.8043403625488281</v>
      </c>
      <c r="P674">
        <v>-79.868896484375</v>
      </c>
      <c r="Q674">
        <v>0</v>
      </c>
    </row>
    <row r="675" spans="1:17" x14ac:dyDescent="0.25">
      <c r="A675">
        <v>664</v>
      </c>
      <c r="B675" t="str">
        <f t="shared" si="10"/>
        <v>Villa Rosario</v>
      </c>
      <c r="C675">
        <v>13</v>
      </c>
      <c r="D675" t="s">
        <v>732</v>
      </c>
      <c r="E675">
        <v>8.8275299072265625</v>
      </c>
      <c r="F675">
        <v>-79.904403686523438</v>
      </c>
      <c r="G675">
        <v>0</v>
      </c>
      <c r="H675">
        <v>1303</v>
      </c>
      <c r="I675" t="s">
        <v>741</v>
      </c>
      <c r="J675">
        <v>8.7977695465087891</v>
      </c>
      <c r="K675">
        <v>-79.991996765136719</v>
      </c>
      <c r="L675">
        <v>38398</v>
      </c>
      <c r="M675">
        <v>130312</v>
      </c>
      <c r="N675" t="s">
        <v>751</v>
      </c>
      <c r="O675">
        <v>8.7917003631591797</v>
      </c>
      <c r="P675">
        <v>-79.862998962402344</v>
      </c>
      <c r="Q675">
        <v>0</v>
      </c>
    </row>
    <row r="676" spans="1:17" x14ac:dyDescent="0.25">
      <c r="A676">
        <v>665</v>
      </c>
      <c r="B676" t="str">
        <f t="shared" si="10"/>
        <v>Santa Rosa</v>
      </c>
      <c r="C676">
        <v>13</v>
      </c>
      <c r="D676" t="s">
        <v>732</v>
      </c>
      <c r="E676">
        <v>8.8275299072265625</v>
      </c>
      <c r="F676">
        <v>-79.904403686523438</v>
      </c>
      <c r="G676">
        <v>0</v>
      </c>
      <c r="H676">
        <v>1303</v>
      </c>
      <c r="I676" t="s">
        <v>741</v>
      </c>
      <c r="J676">
        <v>8.7977695465087891</v>
      </c>
      <c r="K676">
        <v>-79.991996765136719</v>
      </c>
      <c r="L676">
        <v>38398</v>
      </c>
      <c r="M676">
        <v>130313</v>
      </c>
      <c r="N676" t="s">
        <v>177</v>
      </c>
      <c r="O676">
        <v>8.8597002029418945</v>
      </c>
      <c r="P676">
        <v>-80.111801147460938</v>
      </c>
      <c r="Q676">
        <v>0</v>
      </c>
    </row>
    <row r="677" spans="1:17" x14ac:dyDescent="0.25">
      <c r="A677">
        <v>666</v>
      </c>
      <c r="B677" t="str">
        <f t="shared" si="10"/>
        <v>Cermeño</v>
      </c>
      <c r="C677">
        <v>13</v>
      </c>
      <c r="D677" t="s">
        <v>732</v>
      </c>
      <c r="E677">
        <v>8.8275299072265625</v>
      </c>
      <c r="F677">
        <v>-79.904403686523438</v>
      </c>
      <c r="G677">
        <v>0</v>
      </c>
      <c r="H677">
        <v>1303</v>
      </c>
      <c r="I677" t="s">
        <v>741</v>
      </c>
      <c r="J677">
        <v>8.7977695465087891</v>
      </c>
      <c r="K677">
        <v>-79.991996765136719</v>
      </c>
      <c r="L677">
        <v>38398</v>
      </c>
      <c r="M677">
        <v>130304</v>
      </c>
      <c r="N677" t="s">
        <v>752</v>
      </c>
      <c r="O677">
        <v>8.7251796722412109</v>
      </c>
      <c r="P677">
        <v>-79.797798156738281</v>
      </c>
      <c r="Q677">
        <v>0</v>
      </c>
    </row>
    <row r="678" spans="1:17" x14ac:dyDescent="0.25">
      <c r="A678">
        <v>667</v>
      </c>
      <c r="B678" t="str">
        <f t="shared" si="10"/>
        <v>Chame (Cabecera)</v>
      </c>
      <c r="C678">
        <v>13</v>
      </c>
      <c r="D678" t="s">
        <v>732</v>
      </c>
      <c r="E678">
        <v>8.8275299072265625</v>
      </c>
      <c r="F678">
        <v>-79.904403686523438</v>
      </c>
      <c r="G678">
        <v>0</v>
      </c>
      <c r="H678">
        <v>1304</v>
      </c>
      <c r="I678" t="s">
        <v>753</v>
      </c>
      <c r="J678">
        <v>8.6206598281860352</v>
      </c>
      <c r="K678">
        <v>-79.914802551269531</v>
      </c>
      <c r="L678">
        <v>24471</v>
      </c>
      <c r="M678">
        <v>130401</v>
      </c>
      <c r="N678" t="s">
        <v>754</v>
      </c>
      <c r="O678">
        <v>8.5837202072143555</v>
      </c>
      <c r="P678">
        <v>-79.849998474121094</v>
      </c>
      <c r="Q678">
        <v>0</v>
      </c>
    </row>
    <row r="679" spans="1:17" x14ac:dyDescent="0.25">
      <c r="A679">
        <v>668</v>
      </c>
      <c r="B679" t="str">
        <f t="shared" si="10"/>
        <v>Bejuco</v>
      </c>
      <c r="C679">
        <v>13</v>
      </c>
      <c r="D679" t="s">
        <v>732</v>
      </c>
      <c r="E679">
        <v>8.8275299072265625</v>
      </c>
      <c r="F679">
        <v>-79.904403686523438</v>
      </c>
      <c r="G679">
        <v>0</v>
      </c>
      <c r="H679">
        <v>1304</v>
      </c>
      <c r="I679" t="s">
        <v>753</v>
      </c>
      <c r="J679">
        <v>8.6206598281860352</v>
      </c>
      <c r="K679">
        <v>-79.914802551269531</v>
      </c>
      <c r="L679">
        <v>24471</v>
      </c>
      <c r="M679">
        <v>130402</v>
      </c>
      <c r="N679" t="s">
        <v>755</v>
      </c>
      <c r="O679">
        <v>8.6241798400878906</v>
      </c>
      <c r="P679">
        <v>-79.888397216796875</v>
      </c>
      <c r="Q679">
        <v>0</v>
      </c>
    </row>
    <row r="680" spans="1:17" x14ac:dyDescent="0.25">
      <c r="A680">
        <v>669</v>
      </c>
      <c r="B680" t="str">
        <f t="shared" si="10"/>
        <v>Buenos Aires</v>
      </c>
      <c r="C680">
        <v>13</v>
      </c>
      <c r="D680" t="s">
        <v>732</v>
      </c>
      <c r="E680">
        <v>8.8275299072265625</v>
      </c>
      <c r="F680">
        <v>-79.904403686523438</v>
      </c>
      <c r="G680">
        <v>0</v>
      </c>
      <c r="H680">
        <v>1304</v>
      </c>
      <c r="I680" t="s">
        <v>753</v>
      </c>
      <c r="J680">
        <v>8.6206598281860352</v>
      </c>
      <c r="K680">
        <v>-79.914802551269531</v>
      </c>
      <c r="L680">
        <v>24471</v>
      </c>
      <c r="M680">
        <v>130403</v>
      </c>
      <c r="N680" t="s">
        <v>756</v>
      </c>
      <c r="O680">
        <v>8.6405096054077148</v>
      </c>
      <c r="P680">
        <v>-79.950599670410156</v>
      </c>
      <c r="Q680">
        <v>0</v>
      </c>
    </row>
    <row r="681" spans="1:17" x14ac:dyDescent="0.25">
      <c r="A681">
        <v>670</v>
      </c>
      <c r="B681" t="str">
        <f t="shared" si="10"/>
        <v>Cabuya</v>
      </c>
      <c r="C681">
        <v>13</v>
      </c>
      <c r="D681" t="s">
        <v>732</v>
      </c>
      <c r="E681">
        <v>8.8275299072265625</v>
      </c>
      <c r="F681">
        <v>-79.904403686523438</v>
      </c>
      <c r="G681">
        <v>0</v>
      </c>
      <c r="H681">
        <v>1304</v>
      </c>
      <c r="I681" t="s">
        <v>753</v>
      </c>
      <c r="J681">
        <v>8.6206598281860352</v>
      </c>
      <c r="K681">
        <v>-79.914802551269531</v>
      </c>
      <c r="L681">
        <v>24471</v>
      </c>
      <c r="M681">
        <v>130404</v>
      </c>
      <c r="N681" t="s">
        <v>125</v>
      </c>
      <c r="O681">
        <v>8.5804996490478516</v>
      </c>
      <c r="P681">
        <v>-79.955902099609375</v>
      </c>
      <c r="Q681">
        <v>0</v>
      </c>
    </row>
    <row r="682" spans="1:17" x14ac:dyDescent="0.25">
      <c r="A682">
        <v>671</v>
      </c>
      <c r="B682" t="str">
        <f t="shared" si="10"/>
        <v>Chicá</v>
      </c>
      <c r="C682">
        <v>13</v>
      </c>
      <c r="D682" t="s">
        <v>732</v>
      </c>
      <c r="E682">
        <v>8.8275299072265625</v>
      </c>
      <c r="F682">
        <v>-79.904403686523438</v>
      </c>
      <c r="G682">
        <v>0</v>
      </c>
      <c r="H682">
        <v>1304</v>
      </c>
      <c r="I682" t="s">
        <v>753</v>
      </c>
      <c r="J682">
        <v>8.6206598281860352</v>
      </c>
      <c r="K682">
        <v>-79.914802551269531</v>
      </c>
      <c r="L682">
        <v>24471</v>
      </c>
      <c r="M682">
        <v>130405</v>
      </c>
      <c r="N682" t="s">
        <v>757</v>
      </c>
      <c r="O682">
        <v>8.6730203628540039</v>
      </c>
      <c r="P682">
        <v>-79.942596435546875</v>
      </c>
      <c r="Q682">
        <v>0</v>
      </c>
    </row>
    <row r="683" spans="1:17" x14ac:dyDescent="0.25">
      <c r="A683">
        <v>672</v>
      </c>
      <c r="B683" t="str">
        <f t="shared" si="10"/>
        <v>El Líbano</v>
      </c>
      <c r="C683">
        <v>13</v>
      </c>
      <c r="D683" t="s">
        <v>732</v>
      </c>
      <c r="E683">
        <v>8.8275299072265625</v>
      </c>
      <c r="F683">
        <v>-79.904403686523438</v>
      </c>
      <c r="G683">
        <v>0</v>
      </c>
      <c r="H683">
        <v>1304</v>
      </c>
      <c r="I683" t="s">
        <v>753</v>
      </c>
      <c r="J683">
        <v>8.6206598281860352</v>
      </c>
      <c r="K683">
        <v>-79.914802551269531</v>
      </c>
      <c r="L683">
        <v>24471</v>
      </c>
      <c r="M683">
        <v>130406</v>
      </c>
      <c r="N683" t="s">
        <v>758</v>
      </c>
      <c r="O683">
        <v>8.6085700988769531</v>
      </c>
      <c r="P683">
        <v>-79.809700012207031</v>
      </c>
      <c r="Q683">
        <v>0</v>
      </c>
    </row>
    <row r="684" spans="1:17" x14ac:dyDescent="0.25">
      <c r="A684">
        <v>673</v>
      </c>
      <c r="B684" t="str">
        <f t="shared" si="10"/>
        <v>Las Lajas</v>
      </c>
      <c r="C684">
        <v>13</v>
      </c>
      <c r="D684" t="s">
        <v>732</v>
      </c>
      <c r="E684">
        <v>8.8275299072265625</v>
      </c>
      <c r="F684">
        <v>-79.904403686523438</v>
      </c>
      <c r="G684">
        <v>0</v>
      </c>
      <c r="H684">
        <v>1304</v>
      </c>
      <c r="I684" t="s">
        <v>753</v>
      </c>
      <c r="J684">
        <v>8.6206598281860352</v>
      </c>
      <c r="K684">
        <v>-79.914802551269531</v>
      </c>
      <c r="L684">
        <v>24471</v>
      </c>
      <c r="M684">
        <v>130407</v>
      </c>
      <c r="N684" t="s">
        <v>285</v>
      </c>
      <c r="O684">
        <v>8.5438604354858398</v>
      </c>
      <c r="P684">
        <v>-79.91290283203125</v>
      </c>
      <c r="Q684">
        <v>0</v>
      </c>
    </row>
    <row r="685" spans="1:17" x14ac:dyDescent="0.25">
      <c r="A685">
        <v>674</v>
      </c>
      <c r="B685" t="str">
        <f t="shared" si="10"/>
        <v>Nueva Gorgona</v>
      </c>
      <c r="C685">
        <v>13</v>
      </c>
      <c r="D685" t="s">
        <v>732</v>
      </c>
      <c r="E685">
        <v>8.8275299072265625</v>
      </c>
      <c r="F685">
        <v>-79.904403686523438</v>
      </c>
      <c r="G685">
        <v>0</v>
      </c>
      <c r="H685">
        <v>1304</v>
      </c>
      <c r="I685" t="s">
        <v>753</v>
      </c>
      <c r="J685">
        <v>8.6206598281860352</v>
      </c>
      <c r="K685">
        <v>-79.914802551269531</v>
      </c>
      <c r="L685">
        <v>24471</v>
      </c>
      <c r="M685">
        <v>130408</v>
      </c>
      <c r="N685" t="s">
        <v>759</v>
      </c>
      <c r="O685">
        <v>8.5583600997924805</v>
      </c>
      <c r="P685">
        <v>-79.87860107421875</v>
      </c>
      <c r="Q685">
        <v>0</v>
      </c>
    </row>
    <row r="686" spans="1:17" x14ac:dyDescent="0.25">
      <c r="A686">
        <v>675</v>
      </c>
      <c r="B686" t="str">
        <f t="shared" si="10"/>
        <v>Punta Chame</v>
      </c>
      <c r="C686">
        <v>13</v>
      </c>
      <c r="D686" t="s">
        <v>732</v>
      </c>
      <c r="E686">
        <v>8.8275299072265625</v>
      </c>
      <c r="F686">
        <v>-79.904403686523438</v>
      </c>
      <c r="G686">
        <v>0</v>
      </c>
      <c r="H686">
        <v>1304</v>
      </c>
      <c r="I686" t="s">
        <v>753</v>
      </c>
      <c r="J686">
        <v>8.6206598281860352</v>
      </c>
      <c r="K686">
        <v>-79.914802551269531</v>
      </c>
      <c r="L686">
        <v>24471</v>
      </c>
      <c r="M686">
        <v>130409</v>
      </c>
      <c r="N686" t="s">
        <v>760</v>
      </c>
      <c r="O686">
        <v>8.6051797866821289</v>
      </c>
      <c r="P686">
        <v>-79.758903503417969</v>
      </c>
      <c r="Q686">
        <v>0</v>
      </c>
    </row>
    <row r="687" spans="1:17" x14ac:dyDescent="0.25">
      <c r="A687">
        <v>676</v>
      </c>
      <c r="B687" t="str">
        <f t="shared" si="10"/>
        <v>Sajalices</v>
      </c>
      <c r="C687">
        <v>13</v>
      </c>
      <c r="D687" t="s">
        <v>732</v>
      </c>
      <c r="E687">
        <v>8.8275299072265625</v>
      </c>
      <c r="F687">
        <v>-79.904403686523438</v>
      </c>
      <c r="G687">
        <v>0</v>
      </c>
      <c r="H687">
        <v>1304</v>
      </c>
      <c r="I687" t="s">
        <v>753</v>
      </c>
      <c r="J687">
        <v>8.6206598281860352</v>
      </c>
      <c r="K687">
        <v>-79.914802551269531</v>
      </c>
      <c r="L687">
        <v>24471</v>
      </c>
      <c r="M687">
        <v>130410</v>
      </c>
      <c r="N687" t="s">
        <v>761</v>
      </c>
      <c r="O687">
        <v>8.6699495315551758</v>
      </c>
      <c r="P687">
        <v>-79.875900268554688</v>
      </c>
      <c r="Q687">
        <v>0</v>
      </c>
    </row>
    <row r="688" spans="1:17" x14ac:dyDescent="0.25">
      <c r="A688">
        <v>677</v>
      </c>
      <c r="B688" t="str">
        <f t="shared" si="10"/>
        <v>Sorá</v>
      </c>
      <c r="C688">
        <v>13</v>
      </c>
      <c r="D688" t="s">
        <v>732</v>
      </c>
      <c r="E688">
        <v>8.8275299072265625</v>
      </c>
      <c r="F688">
        <v>-79.904403686523438</v>
      </c>
      <c r="G688">
        <v>0</v>
      </c>
      <c r="H688">
        <v>1304</v>
      </c>
      <c r="I688" t="s">
        <v>753</v>
      </c>
      <c r="J688">
        <v>8.6206598281860352</v>
      </c>
      <c r="K688">
        <v>-79.914802551269531</v>
      </c>
      <c r="L688">
        <v>24471</v>
      </c>
      <c r="M688">
        <v>130411</v>
      </c>
      <c r="N688" t="s">
        <v>762</v>
      </c>
      <c r="O688">
        <v>8.6546001434326172</v>
      </c>
      <c r="P688">
        <v>-80.010101318359375</v>
      </c>
      <c r="Q688">
        <v>0</v>
      </c>
    </row>
    <row r="689" spans="1:17" x14ac:dyDescent="0.25">
      <c r="A689">
        <v>678</v>
      </c>
      <c r="B689" t="str">
        <f t="shared" si="10"/>
        <v>Barrio Balboa</v>
      </c>
      <c r="C689">
        <v>13</v>
      </c>
      <c r="D689" t="s">
        <v>732</v>
      </c>
      <c r="E689">
        <v>8.8275299072265625</v>
      </c>
      <c r="F689">
        <v>-79.904403686523438</v>
      </c>
      <c r="G689">
        <v>0</v>
      </c>
      <c r="H689">
        <v>1307</v>
      </c>
      <c r="I689" t="s">
        <v>763</v>
      </c>
      <c r="J689">
        <v>8.9792003631591797</v>
      </c>
      <c r="K689">
        <v>-79.863700866699219</v>
      </c>
      <c r="L689">
        <v>161470</v>
      </c>
      <c r="M689">
        <v>130701</v>
      </c>
      <c r="N689" t="s">
        <v>764</v>
      </c>
      <c r="O689">
        <v>8.8785295486450195</v>
      </c>
      <c r="P689">
        <v>-79.790901184082031</v>
      </c>
      <c r="Q689">
        <v>0</v>
      </c>
    </row>
    <row r="690" spans="1:17" x14ac:dyDescent="0.25">
      <c r="A690">
        <v>679</v>
      </c>
      <c r="B690" t="str">
        <f t="shared" si="10"/>
        <v>Barrio Colón</v>
      </c>
      <c r="C690">
        <v>13</v>
      </c>
      <c r="D690" t="s">
        <v>732</v>
      </c>
      <c r="E690">
        <v>8.8275299072265625</v>
      </c>
      <c r="F690">
        <v>-79.904403686523438</v>
      </c>
      <c r="G690">
        <v>0</v>
      </c>
      <c r="H690">
        <v>1307</v>
      </c>
      <c r="I690" t="s">
        <v>763</v>
      </c>
      <c r="J690">
        <v>8.9792003631591797</v>
      </c>
      <c r="K690">
        <v>-79.863700866699219</v>
      </c>
      <c r="L690">
        <v>161470</v>
      </c>
      <c r="M690">
        <v>130702</v>
      </c>
      <c r="N690" t="s">
        <v>765</v>
      </c>
      <c r="O690">
        <v>8.8942604064941406</v>
      </c>
      <c r="P690">
        <v>-79.765098571777344</v>
      </c>
      <c r="Q690">
        <v>0</v>
      </c>
    </row>
    <row r="691" spans="1:17" x14ac:dyDescent="0.25">
      <c r="A691">
        <v>680</v>
      </c>
      <c r="B691" t="str">
        <f t="shared" si="10"/>
        <v>Amador</v>
      </c>
      <c r="C691">
        <v>13</v>
      </c>
      <c r="D691" t="s">
        <v>732</v>
      </c>
      <c r="E691">
        <v>8.8275299072265625</v>
      </c>
      <c r="F691">
        <v>-79.904403686523438</v>
      </c>
      <c r="G691">
        <v>0</v>
      </c>
      <c r="H691">
        <v>1307</v>
      </c>
      <c r="I691" t="s">
        <v>763</v>
      </c>
      <c r="J691">
        <v>8.9792003631591797</v>
      </c>
      <c r="K691">
        <v>-79.863700866699219</v>
      </c>
      <c r="L691">
        <v>161470</v>
      </c>
      <c r="M691">
        <v>130703</v>
      </c>
      <c r="N691" t="s">
        <v>766</v>
      </c>
      <c r="O691">
        <v>9.0965595245361328</v>
      </c>
      <c r="P691">
        <v>-79.888198852539063</v>
      </c>
      <c r="Q691">
        <v>0</v>
      </c>
    </row>
    <row r="692" spans="1:17" x14ac:dyDescent="0.25">
      <c r="A692">
        <v>681</v>
      </c>
      <c r="B692" t="str">
        <f t="shared" si="10"/>
        <v>Amador</v>
      </c>
      <c r="C692">
        <v>13</v>
      </c>
      <c r="D692" t="s">
        <v>732</v>
      </c>
      <c r="E692">
        <v>8.8275299072265625</v>
      </c>
      <c r="F692">
        <v>-79.904403686523438</v>
      </c>
      <c r="G692">
        <v>0</v>
      </c>
      <c r="H692">
        <v>1307</v>
      </c>
      <c r="I692" t="s">
        <v>763</v>
      </c>
      <c r="J692">
        <v>8.9792003631591797</v>
      </c>
      <c r="K692">
        <v>-79.863700866699219</v>
      </c>
      <c r="L692">
        <v>161470</v>
      </c>
      <c r="M692">
        <v>130703</v>
      </c>
      <c r="N692" t="s">
        <v>766</v>
      </c>
      <c r="O692">
        <v>9.1452102661132813</v>
      </c>
      <c r="P692">
        <v>-79.895301818847656</v>
      </c>
      <c r="Q692">
        <v>0</v>
      </c>
    </row>
    <row r="693" spans="1:17" x14ac:dyDescent="0.25">
      <c r="A693">
        <v>682</v>
      </c>
      <c r="B693" t="str">
        <f t="shared" si="10"/>
        <v>Arosemena</v>
      </c>
      <c r="C693">
        <v>13</v>
      </c>
      <c r="D693" t="s">
        <v>732</v>
      </c>
      <c r="E693">
        <v>8.8275299072265625</v>
      </c>
      <c r="F693">
        <v>-79.904403686523438</v>
      </c>
      <c r="G693">
        <v>0</v>
      </c>
      <c r="H693">
        <v>1307</v>
      </c>
      <c r="I693" t="s">
        <v>763</v>
      </c>
      <c r="J693">
        <v>8.9792003631591797</v>
      </c>
      <c r="K693">
        <v>-79.863700866699219</v>
      </c>
      <c r="L693">
        <v>161470</v>
      </c>
      <c r="M693">
        <v>130704</v>
      </c>
      <c r="N693" t="s">
        <v>767</v>
      </c>
      <c r="O693">
        <v>8.9559297561645508</v>
      </c>
      <c r="P693">
        <v>-79.957099914550781</v>
      </c>
      <c r="Q693">
        <v>0</v>
      </c>
    </row>
    <row r="694" spans="1:17" x14ac:dyDescent="0.25">
      <c r="A694">
        <v>683</v>
      </c>
      <c r="B694" t="str">
        <f t="shared" si="10"/>
        <v>Arosemena</v>
      </c>
      <c r="C694">
        <v>13</v>
      </c>
      <c r="D694" t="s">
        <v>732</v>
      </c>
      <c r="E694">
        <v>8.8275299072265625</v>
      </c>
      <c r="F694">
        <v>-79.904403686523438</v>
      </c>
      <c r="G694">
        <v>0</v>
      </c>
      <c r="H694">
        <v>1307</v>
      </c>
      <c r="I694" t="s">
        <v>763</v>
      </c>
      <c r="J694">
        <v>8.9792003631591797</v>
      </c>
      <c r="K694">
        <v>-79.863700866699219</v>
      </c>
      <c r="L694">
        <v>161470</v>
      </c>
      <c r="M694">
        <v>130704</v>
      </c>
      <c r="N694" t="s">
        <v>767</v>
      </c>
      <c r="O694">
        <v>8.9905099868774414</v>
      </c>
      <c r="P694">
        <v>-79.964401245117188</v>
      </c>
      <c r="Q694">
        <v>0</v>
      </c>
    </row>
    <row r="695" spans="1:17" x14ac:dyDescent="0.25">
      <c r="A695">
        <v>684</v>
      </c>
      <c r="B695" t="str">
        <f t="shared" si="10"/>
        <v>El Arado</v>
      </c>
      <c r="C695">
        <v>13</v>
      </c>
      <c r="D695" t="s">
        <v>732</v>
      </c>
      <c r="E695">
        <v>8.8275299072265625</v>
      </c>
      <c r="F695">
        <v>-79.904403686523438</v>
      </c>
      <c r="G695">
        <v>0</v>
      </c>
      <c r="H695">
        <v>1307</v>
      </c>
      <c r="I695" t="s">
        <v>763</v>
      </c>
      <c r="J695">
        <v>8.9792003631591797</v>
      </c>
      <c r="K695">
        <v>-79.863700866699219</v>
      </c>
      <c r="L695">
        <v>161470</v>
      </c>
      <c r="M695">
        <v>130705</v>
      </c>
      <c r="N695" t="s">
        <v>768</v>
      </c>
      <c r="O695">
        <v>8.9901599884033203</v>
      </c>
      <c r="P695">
        <v>-79.781501770019531</v>
      </c>
      <c r="Q695">
        <v>0</v>
      </c>
    </row>
    <row r="696" spans="1:17" x14ac:dyDescent="0.25">
      <c r="A696">
        <v>685</v>
      </c>
      <c r="B696" t="str">
        <f t="shared" si="10"/>
        <v>El Arado</v>
      </c>
      <c r="C696">
        <v>13</v>
      </c>
      <c r="D696" t="s">
        <v>732</v>
      </c>
      <c r="E696">
        <v>8.8275299072265625</v>
      </c>
      <c r="F696">
        <v>-79.904403686523438</v>
      </c>
      <c r="G696">
        <v>0</v>
      </c>
      <c r="H696">
        <v>1307</v>
      </c>
      <c r="I696" t="s">
        <v>763</v>
      </c>
      <c r="J696">
        <v>8.9792003631591797</v>
      </c>
      <c r="K696">
        <v>-79.863700866699219</v>
      </c>
      <c r="L696">
        <v>161470</v>
      </c>
      <c r="M696">
        <v>130705</v>
      </c>
      <c r="N696" t="s">
        <v>768</v>
      </c>
      <c r="O696">
        <v>9.0741395950317383</v>
      </c>
      <c r="P696">
        <v>-79.804801940917969</v>
      </c>
      <c r="Q696">
        <v>0</v>
      </c>
    </row>
    <row r="697" spans="1:17" x14ac:dyDescent="0.25">
      <c r="A697">
        <v>686</v>
      </c>
      <c r="B697" t="str">
        <f t="shared" si="10"/>
        <v>El Coco</v>
      </c>
      <c r="C697">
        <v>13</v>
      </c>
      <c r="D697" t="s">
        <v>732</v>
      </c>
      <c r="E697">
        <v>8.8275299072265625</v>
      </c>
      <c r="F697">
        <v>-79.904403686523438</v>
      </c>
      <c r="G697">
        <v>0</v>
      </c>
      <c r="H697">
        <v>1307</v>
      </c>
      <c r="I697" t="s">
        <v>763</v>
      </c>
      <c r="J697">
        <v>8.9792003631591797</v>
      </c>
      <c r="K697">
        <v>-79.863700866699219</v>
      </c>
      <c r="L697">
        <v>161470</v>
      </c>
      <c r="M697">
        <v>130706</v>
      </c>
      <c r="N697" t="s">
        <v>158</v>
      </c>
      <c r="O697">
        <v>8.8833703994750977</v>
      </c>
      <c r="P697">
        <v>-79.823799133300781</v>
      </c>
      <c r="Q697">
        <v>0</v>
      </c>
    </row>
    <row r="698" spans="1:17" x14ac:dyDescent="0.25">
      <c r="A698">
        <v>687</v>
      </c>
      <c r="B698" t="str">
        <f t="shared" si="10"/>
        <v>Feuillet</v>
      </c>
      <c r="C698">
        <v>13</v>
      </c>
      <c r="D698" t="s">
        <v>732</v>
      </c>
      <c r="E698">
        <v>8.8275299072265625</v>
      </c>
      <c r="F698">
        <v>-79.904403686523438</v>
      </c>
      <c r="G698">
        <v>0</v>
      </c>
      <c r="H698">
        <v>1307</v>
      </c>
      <c r="I698" t="s">
        <v>763</v>
      </c>
      <c r="J698">
        <v>8.9792003631591797</v>
      </c>
      <c r="K698">
        <v>-79.863700866699219</v>
      </c>
      <c r="L698">
        <v>161470</v>
      </c>
      <c r="M698">
        <v>130707</v>
      </c>
      <c r="N698" t="s">
        <v>769</v>
      </c>
      <c r="O698">
        <v>8.8380603790283203</v>
      </c>
      <c r="P698">
        <v>-79.869003295898438</v>
      </c>
      <c r="Q698">
        <v>0</v>
      </c>
    </row>
    <row r="699" spans="1:17" x14ac:dyDescent="0.25">
      <c r="A699">
        <v>688</v>
      </c>
      <c r="B699" t="str">
        <f t="shared" si="10"/>
        <v>Guadalupe</v>
      </c>
      <c r="C699">
        <v>13</v>
      </c>
      <c r="D699" t="s">
        <v>732</v>
      </c>
      <c r="E699">
        <v>8.8275299072265625</v>
      </c>
      <c r="F699">
        <v>-79.904403686523438</v>
      </c>
      <c r="G699">
        <v>0</v>
      </c>
      <c r="H699">
        <v>1307</v>
      </c>
      <c r="I699" t="s">
        <v>763</v>
      </c>
      <c r="J699">
        <v>8.9792003631591797</v>
      </c>
      <c r="K699">
        <v>-79.863700866699219</v>
      </c>
      <c r="L699">
        <v>161470</v>
      </c>
      <c r="M699">
        <v>130708</v>
      </c>
      <c r="N699" t="s">
        <v>770</v>
      </c>
      <c r="O699">
        <v>8.8554000854492188</v>
      </c>
      <c r="P699">
        <v>-79.827598571777344</v>
      </c>
      <c r="Q699">
        <v>0</v>
      </c>
    </row>
    <row r="700" spans="1:17" x14ac:dyDescent="0.25">
      <c r="A700">
        <v>689</v>
      </c>
      <c r="B700" t="str">
        <f t="shared" si="10"/>
        <v>Herrera</v>
      </c>
      <c r="C700">
        <v>13</v>
      </c>
      <c r="D700" t="s">
        <v>732</v>
      </c>
      <c r="E700">
        <v>8.8275299072265625</v>
      </c>
      <c r="F700">
        <v>-79.904403686523438</v>
      </c>
      <c r="G700">
        <v>0</v>
      </c>
      <c r="H700">
        <v>1307</v>
      </c>
      <c r="I700" t="s">
        <v>763</v>
      </c>
      <c r="J700">
        <v>8.9792003631591797</v>
      </c>
      <c r="K700">
        <v>-79.863700866699219</v>
      </c>
      <c r="L700">
        <v>161470</v>
      </c>
      <c r="M700">
        <v>130709</v>
      </c>
      <c r="N700" t="s">
        <v>321</v>
      </c>
      <c r="O700">
        <v>8.9459896087646484</v>
      </c>
      <c r="P700">
        <v>-79.840896606445313</v>
      </c>
      <c r="Q700">
        <v>0</v>
      </c>
    </row>
    <row r="701" spans="1:17" x14ac:dyDescent="0.25">
      <c r="A701">
        <v>690</v>
      </c>
      <c r="B701" t="str">
        <f t="shared" si="10"/>
        <v>Hurtado</v>
      </c>
      <c r="C701">
        <v>13</v>
      </c>
      <c r="D701" t="s">
        <v>732</v>
      </c>
      <c r="E701">
        <v>8.8275299072265625</v>
      </c>
      <c r="F701">
        <v>-79.904403686523438</v>
      </c>
      <c r="G701">
        <v>0</v>
      </c>
      <c r="H701">
        <v>1307</v>
      </c>
      <c r="I701" t="s">
        <v>763</v>
      </c>
      <c r="J701">
        <v>8.9792003631591797</v>
      </c>
      <c r="K701">
        <v>-79.863700866699219</v>
      </c>
      <c r="L701">
        <v>161470</v>
      </c>
      <c r="M701">
        <v>130710</v>
      </c>
      <c r="N701" t="s">
        <v>771</v>
      </c>
      <c r="O701">
        <v>8.9099502563476563</v>
      </c>
      <c r="P701">
        <v>-79.891098022460938</v>
      </c>
      <c r="Q701">
        <v>0</v>
      </c>
    </row>
    <row r="702" spans="1:17" x14ac:dyDescent="0.25">
      <c r="A702">
        <v>691</v>
      </c>
      <c r="B702" t="str">
        <f t="shared" si="10"/>
        <v>Iturralde</v>
      </c>
      <c r="C702">
        <v>13</v>
      </c>
      <c r="D702" t="s">
        <v>732</v>
      </c>
      <c r="E702">
        <v>8.8275299072265625</v>
      </c>
      <c r="F702">
        <v>-79.904403686523438</v>
      </c>
      <c r="G702">
        <v>0</v>
      </c>
      <c r="H702">
        <v>1307</v>
      </c>
      <c r="I702" t="s">
        <v>763</v>
      </c>
      <c r="J702">
        <v>8.9792003631591797</v>
      </c>
      <c r="K702">
        <v>-79.863700866699219</v>
      </c>
      <c r="L702">
        <v>161470</v>
      </c>
      <c r="M702">
        <v>130711</v>
      </c>
      <c r="N702" t="s">
        <v>772</v>
      </c>
      <c r="O702">
        <v>9.0000200271606445</v>
      </c>
      <c r="P702">
        <v>-79.9302978515625</v>
      </c>
      <c r="Q702">
        <v>0</v>
      </c>
    </row>
    <row r="703" spans="1:17" x14ac:dyDescent="0.25">
      <c r="A703">
        <v>692</v>
      </c>
      <c r="B703" t="str">
        <f t="shared" si="10"/>
        <v>Iturralde</v>
      </c>
      <c r="C703">
        <v>13</v>
      </c>
      <c r="D703" t="s">
        <v>732</v>
      </c>
      <c r="E703">
        <v>8.8275299072265625</v>
      </c>
      <c r="F703">
        <v>-79.904403686523438</v>
      </c>
      <c r="G703">
        <v>0</v>
      </c>
      <c r="H703">
        <v>1307</v>
      </c>
      <c r="I703" t="s">
        <v>763</v>
      </c>
      <c r="J703">
        <v>8.9792003631591797</v>
      </c>
      <c r="K703">
        <v>-79.863700866699219</v>
      </c>
      <c r="L703">
        <v>161470</v>
      </c>
      <c r="M703">
        <v>130711</v>
      </c>
      <c r="N703" t="s">
        <v>772</v>
      </c>
      <c r="O703">
        <v>9.0692996978759766</v>
      </c>
      <c r="P703">
        <v>-79.958396911621094</v>
      </c>
      <c r="Q703">
        <v>0</v>
      </c>
    </row>
    <row r="704" spans="1:17" x14ac:dyDescent="0.25">
      <c r="A704">
        <v>693</v>
      </c>
      <c r="B704" t="str">
        <f t="shared" si="10"/>
        <v>La Represa</v>
      </c>
      <c r="C704">
        <v>13</v>
      </c>
      <c r="D704" t="s">
        <v>732</v>
      </c>
      <c r="E704">
        <v>8.8275299072265625</v>
      </c>
      <c r="F704">
        <v>-79.904403686523438</v>
      </c>
      <c r="G704">
        <v>0</v>
      </c>
      <c r="H704">
        <v>1307</v>
      </c>
      <c r="I704" t="s">
        <v>763</v>
      </c>
      <c r="J704">
        <v>8.9792003631591797</v>
      </c>
      <c r="K704">
        <v>-79.863700866699219</v>
      </c>
      <c r="L704">
        <v>161470</v>
      </c>
      <c r="M704">
        <v>130712</v>
      </c>
      <c r="N704" t="s">
        <v>773</v>
      </c>
      <c r="O704">
        <v>9.0193004608154297</v>
      </c>
      <c r="P704">
        <v>-79.815399169921875</v>
      </c>
      <c r="Q704">
        <v>0</v>
      </c>
    </row>
    <row r="705" spans="1:17" x14ac:dyDescent="0.25">
      <c r="A705">
        <v>694</v>
      </c>
      <c r="B705" t="str">
        <f t="shared" si="10"/>
        <v>La Represa</v>
      </c>
      <c r="C705">
        <v>13</v>
      </c>
      <c r="D705" t="s">
        <v>732</v>
      </c>
      <c r="E705">
        <v>8.8275299072265625</v>
      </c>
      <c r="F705">
        <v>-79.904403686523438</v>
      </c>
      <c r="G705">
        <v>0</v>
      </c>
      <c r="H705">
        <v>1307</v>
      </c>
      <c r="I705" t="s">
        <v>763</v>
      </c>
      <c r="J705">
        <v>8.9792003631591797</v>
      </c>
      <c r="K705">
        <v>-79.863700866699219</v>
      </c>
      <c r="L705">
        <v>161470</v>
      </c>
      <c r="M705">
        <v>130712</v>
      </c>
      <c r="N705" t="s">
        <v>773</v>
      </c>
      <c r="O705">
        <v>9.0555696487426758</v>
      </c>
      <c r="P705">
        <v>-79.830596923828125</v>
      </c>
      <c r="Q705">
        <v>0</v>
      </c>
    </row>
    <row r="706" spans="1:17" x14ac:dyDescent="0.25">
      <c r="A706">
        <v>695</v>
      </c>
      <c r="B706" t="str">
        <f t="shared" si="10"/>
        <v>Los Díaz</v>
      </c>
      <c r="C706">
        <v>13</v>
      </c>
      <c r="D706" t="s">
        <v>732</v>
      </c>
      <c r="E706">
        <v>8.8275299072265625</v>
      </c>
      <c r="F706">
        <v>-79.904403686523438</v>
      </c>
      <c r="G706">
        <v>0</v>
      </c>
      <c r="H706">
        <v>1307</v>
      </c>
      <c r="I706" t="s">
        <v>763</v>
      </c>
      <c r="J706">
        <v>8.9792003631591797</v>
      </c>
      <c r="K706">
        <v>-79.863700866699219</v>
      </c>
      <c r="L706">
        <v>161470</v>
      </c>
      <c r="M706">
        <v>130713</v>
      </c>
      <c r="N706" t="s">
        <v>774</v>
      </c>
      <c r="O706">
        <v>8.8458995819091797</v>
      </c>
      <c r="P706">
        <v>-79.922599792480469</v>
      </c>
      <c r="Q706">
        <v>0</v>
      </c>
    </row>
    <row r="707" spans="1:17" x14ac:dyDescent="0.25">
      <c r="A707">
        <v>696</v>
      </c>
      <c r="B707" t="str">
        <f t="shared" si="10"/>
        <v>Mendoza</v>
      </c>
      <c r="C707">
        <v>13</v>
      </c>
      <c r="D707" t="s">
        <v>732</v>
      </c>
      <c r="E707">
        <v>8.8275299072265625</v>
      </c>
      <c r="F707">
        <v>-79.904403686523438</v>
      </c>
      <c r="G707">
        <v>0</v>
      </c>
      <c r="H707">
        <v>1307</v>
      </c>
      <c r="I707" t="s">
        <v>763</v>
      </c>
      <c r="J707">
        <v>8.9792003631591797</v>
      </c>
      <c r="K707">
        <v>-79.863700866699219</v>
      </c>
      <c r="L707">
        <v>161470</v>
      </c>
      <c r="M707">
        <v>130714</v>
      </c>
      <c r="N707" t="s">
        <v>775</v>
      </c>
      <c r="O707">
        <v>9.0412397384643555</v>
      </c>
      <c r="P707">
        <v>-79.8551025390625</v>
      </c>
      <c r="Q707">
        <v>0</v>
      </c>
    </row>
    <row r="708" spans="1:17" x14ac:dyDescent="0.25">
      <c r="A708">
        <v>697</v>
      </c>
      <c r="B708" t="str">
        <f t="shared" si="10"/>
        <v>Mendoza</v>
      </c>
      <c r="C708">
        <v>13</v>
      </c>
      <c r="D708" t="s">
        <v>732</v>
      </c>
      <c r="E708">
        <v>8.8275299072265625</v>
      </c>
      <c r="F708">
        <v>-79.904403686523438</v>
      </c>
      <c r="G708">
        <v>0</v>
      </c>
      <c r="H708">
        <v>1307</v>
      </c>
      <c r="I708" t="s">
        <v>763</v>
      </c>
      <c r="J708">
        <v>8.9792003631591797</v>
      </c>
      <c r="K708">
        <v>-79.863700866699219</v>
      </c>
      <c r="L708">
        <v>161470</v>
      </c>
      <c r="M708">
        <v>130714</v>
      </c>
      <c r="N708" t="s">
        <v>775</v>
      </c>
      <c r="O708">
        <v>9.0747699737548828</v>
      </c>
      <c r="P708">
        <v>-79.839500427246094</v>
      </c>
      <c r="Q708">
        <v>0</v>
      </c>
    </row>
    <row r="709" spans="1:17" x14ac:dyDescent="0.25">
      <c r="A709">
        <v>698</v>
      </c>
      <c r="B709" t="str">
        <f t="shared" si="10"/>
        <v>Obaldía</v>
      </c>
      <c r="C709">
        <v>13</v>
      </c>
      <c r="D709" t="s">
        <v>732</v>
      </c>
      <c r="E709">
        <v>8.8275299072265625</v>
      </c>
      <c r="F709">
        <v>-79.904403686523438</v>
      </c>
      <c r="G709">
        <v>0</v>
      </c>
      <c r="H709">
        <v>1307</v>
      </c>
      <c r="I709" t="s">
        <v>763</v>
      </c>
      <c r="J709">
        <v>8.9792003631591797</v>
      </c>
      <c r="K709">
        <v>-79.863700866699219</v>
      </c>
      <c r="L709">
        <v>161470</v>
      </c>
      <c r="M709">
        <v>130715</v>
      </c>
      <c r="N709" t="s">
        <v>776</v>
      </c>
      <c r="O709">
        <v>8.8843498229980469</v>
      </c>
      <c r="P709">
        <v>-79.961097717285156</v>
      </c>
      <c r="Q709">
        <v>0</v>
      </c>
    </row>
    <row r="710" spans="1:17" x14ac:dyDescent="0.25">
      <c r="A710">
        <v>699</v>
      </c>
      <c r="B710" t="str">
        <f t="shared" si="10"/>
        <v>Playa Leona</v>
      </c>
      <c r="C710">
        <v>13</v>
      </c>
      <c r="D710" t="s">
        <v>732</v>
      </c>
      <c r="E710">
        <v>8.8275299072265625</v>
      </c>
      <c r="F710">
        <v>-79.904403686523438</v>
      </c>
      <c r="G710">
        <v>0</v>
      </c>
      <c r="H710">
        <v>1307</v>
      </c>
      <c r="I710" t="s">
        <v>763</v>
      </c>
      <c r="J710">
        <v>8.9792003631591797</v>
      </c>
      <c r="K710">
        <v>-79.863700866699219</v>
      </c>
      <c r="L710">
        <v>161470</v>
      </c>
      <c r="M710">
        <v>130716</v>
      </c>
      <c r="N710" t="s">
        <v>777</v>
      </c>
      <c r="O710">
        <v>8.8227500915527344</v>
      </c>
      <c r="P710">
        <v>-79.789299011230469</v>
      </c>
      <c r="Q710">
        <v>0</v>
      </c>
    </row>
    <row r="711" spans="1:17" x14ac:dyDescent="0.25">
      <c r="A711">
        <v>700</v>
      </c>
      <c r="B711" t="str">
        <f t="shared" si="10"/>
        <v>Puerto Caimito</v>
      </c>
      <c r="C711">
        <v>13</v>
      </c>
      <c r="D711" t="s">
        <v>732</v>
      </c>
      <c r="E711">
        <v>8.8275299072265625</v>
      </c>
      <c r="F711">
        <v>-79.904403686523438</v>
      </c>
      <c r="G711">
        <v>0</v>
      </c>
      <c r="H711">
        <v>1307</v>
      </c>
      <c r="I711" t="s">
        <v>763</v>
      </c>
      <c r="J711">
        <v>8.9792003631591797</v>
      </c>
      <c r="K711">
        <v>-79.863700866699219</v>
      </c>
      <c r="L711">
        <v>161470</v>
      </c>
      <c r="M711">
        <v>130717</v>
      </c>
      <c r="N711" t="s">
        <v>778</v>
      </c>
      <c r="O711">
        <v>8.874079704284668</v>
      </c>
      <c r="P711">
        <v>-79.737701416015625</v>
      </c>
      <c r="Q711">
        <v>0</v>
      </c>
    </row>
    <row r="712" spans="1:17" x14ac:dyDescent="0.25">
      <c r="A712">
        <v>701</v>
      </c>
      <c r="B712" t="str">
        <f t="shared" si="10"/>
        <v>Santa Rita</v>
      </c>
      <c r="C712">
        <v>13</v>
      </c>
      <c r="D712" t="s">
        <v>732</v>
      </c>
      <c r="E712">
        <v>8.8275299072265625</v>
      </c>
      <c r="F712">
        <v>-79.904403686523438</v>
      </c>
      <c r="G712">
        <v>0</v>
      </c>
      <c r="H712">
        <v>1307</v>
      </c>
      <c r="I712" t="s">
        <v>763</v>
      </c>
      <c r="J712">
        <v>8.9792003631591797</v>
      </c>
      <c r="K712">
        <v>-79.863700866699219</v>
      </c>
      <c r="L712">
        <v>161470</v>
      </c>
      <c r="M712">
        <v>130718</v>
      </c>
      <c r="N712" t="s">
        <v>132</v>
      </c>
      <c r="O712">
        <v>8.875889778137207</v>
      </c>
      <c r="P712">
        <v>-79.902099609375</v>
      </c>
      <c r="Q712">
        <v>0</v>
      </c>
    </row>
    <row r="713" spans="1:17" x14ac:dyDescent="0.25">
      <c r="A713">
        <v>702</v>
      </c>
      <c r="B713" t="str">
        <f t="shared" si="10"/>
        <v>San Carlos (Cabecera)</v>
      </c>
      <c r="C713">
        <v>13</v>
      </c>
      <c r="D713" t="s">
        <v>732</v>
      </c>
      <c r="E713">
        <v>8.8275299072265625</v>
      </c>
      <c r="F713">
        <v>-79.904403686523438</v>
      </c>
      <c r="G713">
        <v>0</v>
      </c>
      <c r="H713">
        <v>1309</v>
      </c>
      <c r="I713" t="s">
        <v>252</v>
      </c>
      <c r="J713">
        <v>8.5299396514892578</v>
      </c>
      <c r="K713">
        <v>-80.027999877929688</v>
      </c>
      <c r="L713">
        <v>18920</v>
      </c>
      <c r="M713">
        <v>130901</v>
      </c>
      <c r="N713" t="s">
        <v>779</v>
      </c>
      <c r="O713">
        <v>8.4925804138183594</v>
      </c>
      <c r="P713">
        <v>-79.962799072265625</v>
      </c>
      <c r="Q713">
        <v>0</v>
      </c>
    </row>
    <row r="714" spans="1:17" x14ac:dyDescent="0.25">
      <c r="A714">
        <v>703</v>
      </c>
      <c r="B714" t="str">
        <f t="shared" si="10"/>
        <v>El Espino</v>
      </c>
      <c r="C714">
        <v>13</v>
      </c>
      <c r="D714" t="s">
        <v>732</v>
      </c>
      <c r="E714">
        <v>8.8275299072265625</v>
      </c>
      <c r="F714">
        <v>-79.904403686523438</v>
      </c>
      <c r="G714">
        <v>0</v>
      </c>
      <c r="H714">
        <v>1309</v>
      </c>
      <c r="I714" t="s">
        <v>252</v>
      </c>
      <c r="J714">
        <v>8.5299396514892578</v>
      </c>
      <c r="K714">
        <v>-80.027999877929688</v>
      </c>
      <c r="L714">
        <v>18920</v>
      </c>
      <c r="M714">
        <v>130902</v>
      </c>
      <c r="N714" t="s">
        <v>780</v>
      </c>
      <c r="O714">
        <v>8.5102100372314453</v>
      </c>
      <c r="P714">
        <v>-80.023902893066406</v>
      </c>
      <c r="Q714">
        <v>0</v>
      </c>
    </row>
    <row r="715" spans="1:17" x14ac:dyDescent="0.25">
      <c r="A715">
        <v>704</v>
      </c>
      <c r="B715" t="str">
        <f t="shared" si="10"/>
        <v>El Higo</v>
      </c>
      <c r="C715">
        <v>13</v>
      </c>
      <c r="D715" t="s">
        <v>732</v>
      </c>
      <c r="E715">
        <v>8.8275299072265625</v>
      </c>
      <c r="F715">
        <v>-79.904403686523438</v>
      </c>
      <c r="G715">
        <v>0</v>
      </c>
      <c r="H715">
        <v>1309</v>
      </c>
      <c r="I715" t="s">
        <v>252</v>
      </c>
      <c r="J715">
        <v>8.5299396514892578</v>
      </c>
      <c r="K715">
        <v>-80.027999877929688</v>
      </c>
      <c r="L715">
        <v>18920</v>
      </c>
      <c r="M715">
        <v>130903</v>
      </c>
      <c r="N715" t="s">
        <v>704</v>
      </c>
      <c r="O715">
        <v>8.466710090637207</v>
      </c>
      <c r="P715">
        <v>-80.040000915527344</v>
      </c>
      <c r="Q715">
        <v>0</v>
      </c>
    </row>
    <row r="716" spans="1:17" x14ac:dyDescent="0.25">
      <c r="A716">
        <v>705</v>
      </c>
      <c r="B716" t="str">
        <f t="shared" ref="B716:B721" si="11">+N716</f>
        <v>Guayabito</v>
      </c>
      <c r="C716">
        <v>13</v>
      </c>
      <c r="D716" t="s">
        <v>732</v>
      </c>
      <c r="E716">
        <v>8.8275299072265625</v>
      </c>
      <c r="F716">
        <v>-79.904403686523438</v>
      </c>
      <c r="G716">
        <v>0</v>
      </c>
      <c r="H716">
        <v>1309</v>
      </c>
      <c r="I716" t="s">
        <v>252</v>
      </c>
      <c r="J716">
        <v>8.5299396514892578</v>
      </c>
      <c r="K716">
        <v>-80.027999877929688</v>
      </c>
      <c r="L716">
        <v>18920</v>
      </c>
      <c r="M716">
        <v>130904</v>
      </c>
      <c r="N716" t="s">
        <v>653</v>
      </c>
      <c r="O716">
        <v>8.5457496643066406</v>
      </c>
      <c r="P716">
        <v>-80.000198364257813</v>
      </c>
      <c r="Q716">
        <v>0</v>
      </c>
    </row>
    <row r="717" spans="1:17" x14ac:dyDescent="0.25">
      <c r="A717">
        <v>706</v>
      </c>
      <c r="B717" t="str">
        <f t="shared" si="11"/>
        <v>La Ermita</v>
      </c>
      <c r="C717">
        <v>13</v>
      </c>
      <c r="D717" t="s">
        <v>732</v>
      </c>
      <c r="E717">
        <v>8.8275299072265625</v>
      </c>
      <c r="F717">
        <v>-79.904403686523438</v>
      </c>
      <c r="G717">
        <v>0</v>
      </c>
      <c r="H717">
        <v>1309</v>
      </c>
      <c r="I717" t="s">
        <v>252</v>
      </c>
      <c r="J717">
        <v>8.5299396514892578</v>
      </c>
      <c r="K717">
        <v>-80.027999877929688</v>
      </c>
      <c r="L717">
        <v>18920</v>
      </c>
      <c r="M717">
        <v>130905</v>
      </c>
      <c r="N717" t="s">
        <v>781</v>
      </c>
      <c r="O717">
        <v>8.4738702774047852</v>
      </c>
      <c r="P717">
        <v>-80.071998596191406</v>
      </c>
      <c r="Q717">
        <v>0</v>
      </c>
    </row>
    <row r="718" spans="1:17" x14ac:dyDescent="0.25">
      <c r="A718">
        <v>707</v>
      </c>
      <c r="B718" t="str">
        <f t="shared" si="11"/>
        <v>La Laguna</v>
      </c>
      <c r="C718">
        <v>13</v>
      </c>
      <c r="D718" t="s">
        <v>732</v>
      </c>
      <c r="E718">
        <v>8.8275299072265625</v>
      </c>
      <c r="F718">
        <v>-79.904403686523438</v>
      </c>
      <c r="G718">
        <v>0</v>
      </c>
      <c r="H718">
        <v>1309</v>
      </c>
      <c r="I718" t="s">
        <v>252</v>
      </c>
      <c r="J718">
        <v>8.5299396514892578</v>
      </c>
      <c r="K718">
        <v>-80.027999877929688</v>
      </c>
      <c r="L718">
        <v>18920</v>
      </c>
      <c r="M718">
        <v>130906</v>
      </c>
      <c r="N718" t="s">
        <v>520</v>
      </c>
      <c r="O718">
        <v>8.607569694519043</v>
      </c>
      <c r="P718">
        <v>-80.043403625488281</v>
      </c>
      <c r="Q718">
        <v>0</v>
      </c>
    </row>
    <row r="719" spans="1:17" x14ac:dyDescent="0.25">
      <c r="A719">
        <v>708</v>
      </c>
      <c r="B719" t="str">
        <f t="shared" si="11"/>
        <v>Las Uvas</v>
      </c>
      <c r="C719">
        <v>13</v>
      </c>
      <c r="D719" t="s">
        <v>732</v>
      </c>
      <c r="E719">
        <v>8.8275299072265625</v>
      </c>
      <c r="F719">
        <v>-79.904403686523438</v>
      </c>
      <c r="G719">
        <v>0</v>
      </c>
      <c r="H719">
        <v>1309</v>
      </c>
      <c r="I719" t="s">
        <v>252</v>
      </c>
      <c r="J719">
        <v>8.5299396514892578</v>
      </c>
      <c r="K719">
        <v>-80.027999877929688</v>
      </c>
      <c r="L719">
        <v>18920</v>
      </c>
      <c r="M719">
        <v>130907</v>
      </c>
      <c r="N719" t="s">
        <v>782</v>
      </c>
      <c r="O719">
        <v>8.4680900573730469</v>
      </c>
      <c r="P719">
        <v>-79.994499206542969</v>
      </c>
      <c r="Q719">
        <v>0</v>
      </c>
    </row>
    <row r="720" spans="1:17" x14ac:dyDescent="0.25">
      <c r="A720">
        <v>709</v>
      </c>
      <c r="B720" t="str">
        <f t="shared" si="11"/>
        <v>Los Llanitos</v>
      </c>
      <c r="C720">
        <v>13</v>
      </c>
      <c r="D720" t="s">
        <v>732</v>
      </c>
      <c r="E720">
        <v>8.8275299072265625</v>
      </c>
      <c r="F720">
        <v>-79.904403686523438</v>
      </c>
      <c r="G720">
        <v>0</v>
      </c>
      <c r="H720">
        <v>1309</v>
      </c>
      <c r="I720" t="s">
        <v>252</v>
      </c>
      <c r="J720">
        <v>8.5299396514892578</v>
      </c>
      <c r="K720">
        <v>-80.027999877929688</v>
      </c>
      <c r="L720">
        <v>18920</v>
      </c>
      <c r="M720">
        <v>130908</v>
      </c>
      <c r="N720" t="s">
        <v>783</v>
      </c>
      <c r="O720">
        <v>8.5731697082519531</v>
      </c>
      <c r="P720">
        <v>-80.0791015625</v>
      </c>
      <c r="Q720">
        <v>0</v>
      </c>
    </row>
    <row r="721" spans="1:17" x14ac:dyDescent="0.25">
      <c r="A721">
        <v>710</v>
      </c>
      <c r="B721" t="str">
        <f t="shared" si="11"/>
        <v>San José</v>
      </c>
      <c r="C721">
        <v>13</v>
      </c>
      <c r="D721" t="s">
        <v>732</v>
      </c>
      <c r="E721">
        <v>8.8275299072265625</v>
      </c>
      <c r="F721">
        <v>-79.904403686523438</v>
      </c>
      <c r="G721">
        <v>0</v>
      </c>
      <c r="H721">
        <v>1309</v>
      </c>
      <c r="I721" t="s">
        <v>252</v>
      </c>
      <c r="J721">
        <v>8.5299396514892578</v>
      </c>
      <c r="K721">
        <v>-80.027999877929688</v>
      </c>
      <c r="L721">
        <v>18920</v>
      </c>
      <c r="M721">
        <v>130909</v>
      </c>
      <c r="N721" t="s">
        <v>402</v>
      </c>
      <c r="O721">
        <v>8.5331096649169922</v>
      </c>
      <c r="P721">
        <v>-79.942497253417969</v>
      </c>
      <c r="Q721">
        <v>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Casos (2)</vt:lpstr>
      <vt:lpstr>Muertes</vt:lpstr>
      <vt:lpstr>Muertes (2)</vt:lpstr>
      <vt:lpstr>Recuperados</vt:lpstr>
      <vt:lpstr>Recuperados (2)</vt:lpstr>
      <vt:lpstr>LOCALIZA 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Abner</dc:creator>
  <cp:keywords/>
  <dc:description/>
  <cp:lastModifiedBy>Natalia Arancibia Pacheco</cp:lastModifiedBy>
  <cp:revision/>
  <dcterms:created xsi:type="dcterms:W3CDTF">2020-04-13T13:51:54Z</dcterms:created>
  <dcterms:modified xsi:type="dcterms:W3CDTF">2020-06-05T00:24:11Z</dcterms:modified>
  <cp:category/>
  <cp:contentStatus/>
</cp:coreProperties>
</file>